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667" activeTab="4"/>
  </bookViews>
  <sheets>
    <sheet name="1.sz. mérleg" sheetId="1" r:id="rId1"/>
    <sheet name="2.sz.mérleg működési" sheetId="2" r:id="rId2"/>
    <sheet name="3.sz.mérleg felhalmozási" sheetId="3" r:id="rId3"/>
    <sheet name="4.sz.Bev-kiad." sheetId="4" r:id="rId4"/>
    <sheet name="5.sz.címrend" sheetId="5" r:id="rId5"/>
    <sheet name="6.sz.Felhalm." sheetId="6" r:id="rId6"/>
    <sheet name="7.sz.EU-s tám." sheetId="7" r:id="rId7"/>
    <sheet name="8.sz.támogatások" sheetId="8" r:id="rId8"/>
  </sheets>
  <definedNames>
    <definedName name="_xlnm.Print_Area" localSheetId="0">'1.sz. mérleg'!$A$1:$F$113</definedName>
    <definedName name="_xlnm.Print_Area" localSheetId="3">'4.sz.Bev-kiad.'!$A$1:$S$24</definedName>
    <definedName name="_xlnm.Print_Area" localSheetId="7">'8.sz.támogatások'!$A$1:$G$29</definedName>
  </definedNames>
  <calcPr fullCalcOnLoad="1"/>
</workbook>
</file>

<file path=xl/sharedStrings.xml><?xml version="1.0" encoding="utf-8"?>
<sst xmlns="http://schemas.openxmlformats.org/spreadsheetml/2006/main" count="821" uniqueCount="476">
  <si>
    <t>1. Bevételek</t>
  </si>
  <si>
    <t>A</t>
  </si>
  <si>
    <t>B</t>
  </si>
  <si>
    <t>C</t>
  </si>
  <si>
    <t>D</t>
  </si>
  <si>
    <t>E</t>
  </si>
  <si>
    <t>F</t>
  </si>
  <si>
    <t xml:space="preserve">Bevételek </t>
  </si>
  <si>
    <t>2013. évi terv</t>
  </si>
  <si>
    <t>1.</t>
  </si>
  <si>
    <t>I.   Működési bevételek</t>
  </si>
  <si>
    <t>2.</t>
  </si>
  <si>
    <t xml:space="preserve">    1.  Intézményi működési bevételek</t>
  </si>
  <si>
    <t>3.</t>
  </si>
  <si>
    <t xml:space="preserve">        OEP finansz. intézmény működési bevétel</t>
  </si>
  <si>
    <t>4.</t>
  </si>
  <si>
    <t xml:space="preserve">    2. Önkormányzat sajátos működési bevételei</t>
  </si>
  <si>
    <t>5.</t>
  </si>
  <si>
    <t xml:space="preserve">       Iparűzési</t>
  </si>
  <si>
    <t>6.</t>
  </si>
  <si>
    <t xml:space="preserve">       Kommunális</t>
  </si>
  <si>
    <t>7.</t>
  </si>
  <si>
    <t xml:space="preserve">       Idegenforgalmi</t>
  </si>
  <si>
    <t>8.</t>
  </si>
  <si>
    <t xml:space="preserve">       Átengedett központi adó gépjármű</t>
  </si>
  <si>
    <t>9.</t>
  </si>
  <si>
    <t xml:space="preserve">       SZJA </t>
  </si>
  <si>
    <t>10.</t>
  </si>
  <si>
    <t xml:space="preserve">       Egyéb sajátos bevétel</t>
  </si>
  <si>
    <t>11.</t>
  </si>
  <si>
    <t xml:space="preserve">       Bírság, pótlék,egyéb</t>
  </si>
  <si>
    <t>12.</t>
  </si>
  <si>
    <t>13.</t>
  </si>
  <si>
    <t>II. Támogatások</t>
  </si>
  <si>
    <t>14.</t>
  </si>
  <si>
    <t xml:space="preserve">       Normatív hozzájárulás</t>
  </si>
  <si>
    <t>15.</t>
  </si>
  <si>
    <t xml:space="preserve">       Kötött felhasználású normatíva</t>
  </si>
  <si>
    <t>16.</t>
  </si>
  <si>
    <t xml:space="preserve">       Színház támogatás</t>
  </si>
  <si>
    <t>17.</t>
  </si>
  <si>
    <t xml:space="preserve">       Központosított szociális támogatás</t>
  </si>
  <si>
    <t>18.</t>
  </si>
  <si>
    <t xml:space="preserve">       Központosított </t>
  </si>
  <si>
    <t>19.</t>
  </si>
  <si>
    <t xml:space="preserve">       Egyéb felhalm.célú tám. (adósságkonszolidáció) </t>
  </si>
  <si>
    <t>20.</t>
  </si>
  <si>
    <t xml:space="preserve">       Egyéb működési célú tám. (adósságkonszolidáció) </t>
  </si>
  <si>
    <t>21.</t>
  </si>
  <si>
    <t xml:space="preserve">       Felhalmozási ktgvetési támogatás</t>
  </si>
  <si>
    <t>22.</t>
  </si>
  <si>
    <t xml:space="preserve">       ÖNHIKI</t>
  </si>
  <si>
    <t>23.</t>
  </si>
  <si>
    <t>III. Felhalmozási és tőkejellegű bevételek</t>
  </si>
  <si>
    <t>24.</t>
  </si>
  <si>
    <t xml:space="preserve">     1. Tárgyi eszközök, immateriális javak értékesítése</t>
  </si>
  <si>
    <t>25.</t>
  </si>
  <si>
    <t xml:space="preserve">     2. Önkormányzat sajátos tőke jellegű bevétele</t>
  </si>
  <si>
    <t>26.</t>
  </si>
  <si>
    <t xml:space="preserve">     3. Pénzügyi befektetések bevételei</t>
  </si>
  <si>
    <t>27.</t>
  </si>
  <si>
    <t xml:space="preserve">     4. Egyéb felhalmozási célú bevételek</t>
  </si>
  <si>
    <t>28.</t>
  </si>
  <si>
    <t>IV. Támogatás értékű bevétel</t>
  </si>
  <si>
    <t>29.</t>
  </si>
  <si>
    <t xml:space="preserve">     1. Támogatás értékű működési bevétel</t>
  </si>
  <si>
    <t>30.</t>
  </si>
  <si>
    <t>31.</t>
  </si>
  <si>
    <t>32.</t>
  </si>
  <si>
    <t>33.</t>
  </si>
  <si>
    <t>V.  Véglegesen átvett pénzeszköz</t>
  </si>
  <si>
    <t>34.</t>
  </si>
  <si>
    <t xml:space="preserve">    1. Működési célú pénzeszköz államháztartáson kívülről</t>
  </si>
  <si>
    <t>35.</t>
  </si>
  <si>
    <t xml:space="preserve">    2. Felhalmozási pénzeszköz államháztartáson kívülről</t>
  </si>
  <si>
    <t>36.</t>
  </si>
  <si>
    <t>VI. Támogatási kölcsönök visszatérülése</t>
  </si>
  <si>
    <t>37.</t>
  </si>
  <si>
    <t>38.</t>
  </si>
  <si>
    <t>Költségvetési bevételek összesen I+II+III+IV+V+VI</t>
  </si>
  <si>
    <t>39.</t>
  </si>
  <si>
    <t>VII. Pénzforgalom nélküli bevétel</t>
  </si>
  <si>
    <t>40.</t>
  </si>
  <si>
    <t xml:space="preserve">    1.1. Előző évi várható pénzmaradvány igénybevétel működési</t>
  </si>
  <si>
    <t>41.</t>
  </si>
  <si>
    <t xml:space="preserve">    1.2. Előző évi várható pénzmaradvány igénybevétel felhalmozási</t>
  </si>
  <si>
    <t>42.</t>
  </si>
  <si>
    <t xml:space="preserve">    2. Előző évek vállalkozási maradvány igénybevétele</t>
  </si>
  <si>
    <t>43.</t>
  </si>
  <si>
    <t>44.</t>
  </si>
  <si>
    <t>VIII. Értékpapírok értékesítése, kibocsátása</t>
  </si>
  <si>
    <t>45.</t>
  </si>
  <si>
    <t xml:space="preserve">   1. Forgatási célú értékpapírok bevételei</t>
  </si>
  <si>
    <t>46.</t>
  </si>
  <si>
    <t xml:space="preserve">   2. Befektetési célú értékpapírok bevételei</t>
  </si>
  <si>
    <t>47.</t>
  </si>
  <si>
    <t>IX. Kötvények kibocsátásának bevétele</t>
  </si>
  <si>
    <t>48.</t>
  </si>
  <si>
    <t>X. Hitelek</t>
  </si>
  <si>
    <t>49.</t>
  </si>
  <si>
    <t xml:space="preserve">    Működési célú hitel felvétele (konszolidáció)</t>
  </si>
  <si>
    <t>50.</t>
  </si>
  <si>
    <t xml:space="preserve">    Likvid hitel felvétele</t>
  </si>
  <si>
    <t>51.</t>
  </si>
  <si>
    <t xml:space="preserve">    Felhalmozási célú hitel felvétele</t>
  </si>
  <si>
    <t>52.</t>
  </si>
  <si>
    <t>XI. Függő, átfutó bevételek</t>
  </si>
  <si>
    <t>53.</t>
  </si>
  <si>
    <t>54.</t>
  </si>
  <si>
    <t>Finanszírozási célú műveletek bevétele VIII+IX+X+XI</t>
  </si>
  <si>
    <t>55.</t>
  </si>
  <si>
    <t>2. Kiadások</t>
  </si>
  <si>
    <t xml:space="preserve">Kiadások </t>
  </si>
  <si>
    <t>56.</t>
  </si>
  <si>
    <t>I.  Működési kiadások</t>
  </si>
  <si>
    <t>57.</t>
  </si>
  <si>
    <t xml:space="preserve">      Intézményi kiadások</t>
  </si>
  <si>
    <t>58.</t>
  </si>
  <si>
    <t xml:space="preserve">      OEP intézmény</t>
  </si>
  <si>
    <t>59.</t>
  </si>
  <si>
    <t xml:space="preserve">      Önkormányzat</t>
  </si>
  <si>
    <t>60.</t>
  </si>
  <si>
    <t xml:space="preserve">      Polgármesteri Hivatal</t>
  </si>
  <si>
    <t>61.</t>
  </si>
  <si>
    <t>Ebből:</t>
  </si>
  <si>
    <t>62.</t>
  </si>
  <si>
    <t xml:space="preserve">      Személyi juttatások</t>
  </si>
  <si>
    <t>63.</t>
  </si>
  <si>
    <t xml:space="preserve">      Munkaadót terhelő járulék</t>
  </si>
  <si>
    <t>64.</t>
  </si>
  <si>
    <t xml:space="preserve">      Ellátottak pénzbeli juttatásai</t>
  </si>
  <si>
    <t>65.</t>
  </si>
  <si>
    <t xml:space="preserve">      Dologi és egyéb folyó kiadások</t>
  </si>
  <si>
    <t>66.</t>
  </si>
  <si>
    <t xml:space="preserve">      Normatív visszafizetés</t>
  </si>
  <si>
    <t>67.</t>
  </si>
  <si>
    <t xml:space="preserve">      Kamat kiadás</t>
  </si>
  <si>
    <t>68.</t>
  </si>
  <si>
    <t xml:space="preserve">      Támogatásértékű kiadás, működési pénzeszköz átadás</t>
  </si>
  <si>
    <t>69.</t>
  </si>
  <si>
    <t xml:space="preserve">  Társadalom- és szociálpolitikai juttatás</t>
  </si>
  <si>
    <t>70.</t>
  </si>
  <si>
    <t xml:space="preserve">  Kölcsönök nyújtása</t>
  </si>
  <si>
    <t>71.</t>
  </si>
  <si>
    <t xml:space="preserve">  Működési célú pénzmaradvány átadás</t>
  </si>
  <si>
    <t>72.</t>
  </si>
  <si>
    <t xml:space="preserve">  Garancia- és kezességvállalás kiadásai</t>
  </si>
  <si>
    <t>73.</t>
  </si>
  <si>
    <t>74.</t>
  </si>
  <si>
    <t>II.  Felhalmozási kiadások</t>
  </si>
  <si>
    <t>75.</t>
  </si>
  <si>
    <t xml:space="preserve">     Beruházások</t>
  </si>
  <si>
    <t>76.</t>
  </si>
  <si>
    <t xml:space="preserve">     Felújítások</t>
  </si>
  <si>
    <t>77.</t>
  </si>
  <si>
    <t xml:space="preserve"> Felhalmozási célú kamatkiadások</t>
  </si>
  <si>
    <t>78.</t>
  </si>
  <si>
    <t xml:space="preserve">     Támogatásértékű és felhalmozási pénzeszköz átadás</t>
  </si>
  <si>
    <t>79.</t>
  </si>
  <si>
    <t xml:space="preserve"> Felhalmozási célú kölcsönök nyújtása</t>
  </si>
  <si>
    <t>80.</t>
  </si>
  <si>
    <t xml:space="preserve">     Egyéb felhalmozási célú kiadások</t>
  </si>
  <si>
    <t>81.</t>
  </si>
  <si>
    <t xml:space="preserve"> Pénzügyi befektetések kiadásai</t>
  </si>
  <si>
    <t>82.</t>
  </si>
  <si>
    <t xml:space="preserve"> Felhalmozási célú pénzmaradvány átadás</t>
  </si>
  <si>
    <t>83.</t>
  </si>
  <si>
    <t>84.</t>
  </si>
  <si>
    <t>III. Tartalék</t>
  </si>
  <si>
    <t>85.</t>
  </si>
  <si>
    <t xml:space="preserve">     Céltartalék</t>
  </si>
  <si>
    <t>86.</t>
  </si>
  <si>
    <t xml:space="preserve">     Általános tartalék</t>
  </si>
  <si>
    <t>87.</t>
  </si>
  <si>
    <t xml:space="preserve">     Felhalmozási tartalék</t>
  </si>
  <si>
    <t>88.</t>
  </si>
  <si>
    <t>IV. Egyéb kiadások</t>
  </si>
  <si>
    <t>89.</t>
  </si>
  <si>
    <t>Költségvetési kiadások összesen I+II+III+IV</t>
  </si>
  <si>
    <t>90.</t>
  </si>
  <si>
    <t>V. Hitelek törlesztése</t>
  </si>
  <si>
    <t>91.</t>
  </si>
  <si>
    <t xml:space="preserve">      Felhalmozási célú hitel törlesztése</t>
  </si>
  <si>
    <t>92.</t>
  </si>
  <si>
    <t xml:space="preserve">      Működési célú hitel törlesztés</t>
  </si>
  <si>
    <t>93.</t>
  </si>
  <si>
    <t xml:space="preserve">      Likvid hitelek törlesztése</t>
  </si>
  <si>
    <t>94.</t>
  </si>
  <si>
    <t xml:space="preserve">      Kötvény törlesztés</t>
  </si>
  <si>
    <t>95.</t>
  </si>
  <si>
    <t>Vi. Értékpapírok beváltása, vásárlása</t>
  </si>
  <si>
    <t>96.</t>
  </si>
  <si>
    <t xml:space="preserve">  Forgatási célú értékpapír beváltása, vásárlása</t>
  </si>
  <si>
    <t>97.</t>
  </si>
  <si>
    <t xml:space="preserve">  Befektetési célú értékpapír beváltása, vásárlása</t>
  </si>
  <si>
    <t>98.</t>
  </si>
  <si>
    <t>VII.Függő, átfutó kiadások</t>
  </si>
  <si>
    <t>99.</t>
  </si>
  <si>
    <t>Finanszírozási célú műveletek kiadása V+VI+VII</t>
  </si>
  <si>
    <t>100.</t>
  </si>
  <si>
    <t>101.</t>
  </si>
  <si>
    <t>102.</t>
  </si>
  <si>
    <t>103.</t>
  </si>
  <si>
    <r>
      <t xml:space="preserve">         </t>
    </r>
    <r>
      <rPr>
        <sz val="8"/>
        <rFont val="Arial CE"/>
        <family val="2"/>
      </rPr>
      <t>ebből TB alaptól átvett</t>
    </r>
  </si>
  <si>
    <r>
      <t xml:space="preserve">    </t>
    </r>
    <r>
      <rPr>
        <sz val="8"/>
        <rFont val="Arial CE"/>
        <family val="2"/>
      </rPr>
      <t xml:space="preserve"> 2. Támogatás értékű felhalmozási bevétel</t>
    </r>
  </si>
  <si>
    <t>2013.évi III.mód.</t>
  </si>
  <si>
    <t>adatok ezer Ft-ban</t>
  </si>
  <si>
    <t>Bevétel megnevezése</t>
  </si>
  <si>
    <t>2013. évi   terv</t>
  </si>
  <si>
    <t>Kiadás megnevezése</t>
  </si>
  <si>
    <t>Intézményi működési bevételek</t>
  </si>
  <si>
    <t>Személyi juttatások</t>
  </si>
  <si>
    <t>Önkormányzat sajátos működési bevételei</t>
  </si>
  <si>
    <t>Munkaadókat terhelő járulék</t>
  </si>
  <si>
    <t>Támogatások, kiegészítések</t>
  </si>
  <si>
    <t>Dologi és egyéb folyó kiadások</t>
  </si>
  <si>
    <t>Támogatásértékű bevételek</t>
  </si>
  <si>
    <t xml:space="preserve">    Normatív visszafizetés</t>
  </si>
  <si>
    <t>Működési célú pénzeszköz átvétel</t>
  </si>
  <si>
    <t>Működési célú kamatkiadások</t>
  </si>
  <si>
    <t>Működési célú kölcsön visszatérülése</t>
  </si>
  <si>
    <t>Ellátottak pénzbeli juttatása</t>
  </si>
  <si>
    <t>Támogatásértékű kiadás,pénzeszköz átadás</t>
  </si>
  <si>
    <t>Társadalom- és szociálpolitikai juttatás</t>
  </si>
  <si>
    <t>Garancia- és kezességvállalás kiadásai</t>
  </si>
  <si>
    <t>Működési célú kölcsön nyújtása</t>
  </si>
  <si>
    <t>Pénzmaradvány átadás</t>
  </si>
  <si>
    <t>Tartalékok</t>
  </si>
  <si>
    <t>Költségvetési bevételek összesen:</t>
  </si>
  <si>
    <t>Költségvetési kiadások összesen:</t>
  </si>
  <si>
    <t>Előző évi működési célú pénzmaradvány igénybevétele</t>
  </si>
  <si>
    <t>Rövid lejáratú hitelek törlesztése</t>
  </si>
  <si>
    <t>Előző évi vállalkozási eredmény igénybevétel</t>
  </si>
  <si>
    <t>Likvid hitelek törlesztése</t>
  </si>
  <si>
    <t>Rövid lejáratú hitelek felvétel</t>
  </si>
  <si>
    <t>Hosszú lejáratú hitelek törlesztése</t>
  </si>
  <si>
    <t>Likvid hitelek felvétele</t>
  </si>
  <si>
    <t>Forgatási célú értékpapír beváltása</t>
  </si>
  <si>
    <t>Hosszú lejáratú hitelek felvétele</t>
  </si>
  <si>
    <t>Forgatási célú értékpapírok vásárlása</t>
  </si>
  <si>
    <t>Forgatási célú értékpapírok kibocsátása</t>
  </si>
  <si>
    <t>Befektetési célú értékpapír beváltása</t>
  </si>
  <si>
    <t>Forgatási célú értékpapírok értékesítése</t>
  </si>
  <si>
    <t>Befektetési célú értékpapírok vásárlása</t>
  </si>
  <si>
    <t>Befektetési célú értékpapír kibocsátása</t>
  </si>
  <si>
    <t>Függő, átfutó, kiegyenlítő kiadások</t>
  </si>
  <si>
    <t>Befektetési célú értékpapírok értékesítése</t>
  </si>
  <si>
    <t>Függő, átfutó, kiegyenlítő bevételek</t>
  </si>
  <si>
    <t>Finanszírozási bevételek (16+…+24)</t>
  </si>
  <si>
    <t>Finanszírozási kiadások (14+…+24)</t>
  </si>
  <si>
    <t>ÖSSZES BEVÉTEL (13+14+15+25)</t>
  </si>
  <si>
    <t>ÖSSZES KIADÁS (13+25)</t>
  </si>
  <si>
    <t>Költségvetési hiány:</t>
  </si>
  <si>
    <t>Költségvetési többlet:</t>
  </si>
  <si>
    <t>Tárgyi eszközök, immateriális javak értékesítése</t>
  </si>
  <si>
    <t>Intézményi beruházás</t>
  </si>
  <si>
    <t>Önkormányzatok sajátos felhalmozási bevételei</t>
  </si>
  <si>
    <t>Felújítás</t>
  </si>
  <si>
    <t>Pénzügyi befektetésekből származó bevétel</t>
  </si>
  <si>
    <t>Támogatásértékű felhalmozási kiadás</t>
  </si>
  <si>
    <t xml:space="preserve">    Felhalmozási célú kamatbevételek</t>
  </si>
  <si>
    <t>Felhalmozási célú pénzeszközátadás</t>
  </si>
  <si>
    <t>Cél-, címzett és egyéb központi támogatás</t>
  </si>
  <si>
    <t>Pénzügyi befektetések kiadásai</t>
  </si>
  <si>
    <t>Fejlesztési és vis maior támogatás</t>
  </si>
  <si>
    <t>Állami támogatásokból felhalm. tám.</t>
  </si>
  <si>
    <t>Kölcsönök nyújtása</t>
  </si>
  <si>
    <t>Felhalmozási célú pénzmaradvány átadás</t>
  </si>
  <si>
    <t>Átvett pénzeszköz államháztartáson kívülről</t>
  </si>
  <si>
    <t>Felhalmozási célú kamatkiadások</t>
  </si>
  <si>
    <t>Kölcsönök visszatérülése</t>
  </si>
  <si>
    <t>Egyéb kiadások</t>
  </si>
  <si>
    <t>Fejlesztések visszaigényelhető áfája</t>
  </si>
  <si>
    <t>Előző évi felh. célú pénzm. igénybev.</t>
  </si>
  <si>
    <t>Rövid lejáratú hitelek felvétele</t>
  </si>
  <si>
    <t>Fejlesztési célú kötvény törlesztése</t>
  </si>
  <si>
    <t>Forgatási célú értékpapír kibocsátása</t>
  </si>
  <si>
    <t>Finanszírozási célú bevétel (14+…+22)</t>
  </si>
  <si>
    <t>Finanszírozási célú kiadás (13+...+22)</t>
  </si>
  <si>
    <t>BEVÉTELEK ÖSSZESEN (12+13+23)</t>
  </si>
  <si>
    <t>KIADÁSOK ÖSSZESEN (12+23)</t>
  </si>
  <si>
    <t>adatok ezer forintban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</si>
  <si>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</si>
  <si>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</si>
  <si>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</si>
  <si>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</si>
  <si>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</si>
  <si>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</si>
  <si>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</si>
  <si>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</si>
  <si>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</si>
  <si>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</si>
  <si>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</si>
  <si>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B E V É T E L E K</t>
  </si>
  <si>
    <t>K I A D Á S O K</t>
  </si>
  <si>
    <t>Intézmény neve</t>
  </si>
  <si>
    <t>Saját</t>
  </si>
  <si>
    <t>Normatíva</t>
  </si>
  <si>
    <t>Központo-sított támogatás</t>
  </si>
  <si>
    <t>Önkormány-zati támogatás</t>
  </si>
  <si>
    <t>Pénzma- radvány</t>
  </si>
  <si>
    <t>Támogatás értékű és átvett pénzesz- köz</t>
  </si>
  <si>
    <t>Felhalmo-zás</t>
  </si>
  <si>
    <t>Összesen</t>
  </si>
  <si>
    <t>Személyi</t>
  </si>
  <si>
    <t>Járulékok</t>
  </si>
  <si>
    <t>Dologi és támogatás</t>
  </si>
  <si>
    <t>Ellátottak juttatásai</t>
  </si>
  <si>
    <t>Tartalék</t>
  </si>
  <si>
    <t>Hitel</t>
  </si>
  <si>
    <t>Városi Könyvtár</t>
  </si>
  <si>
    <t>Várszínház és Művészetek Háza</t>
  </si>
  <si>
    <t>Rétközi Múzeum</t>
  </si>
  <si>
    <t>Egészségügyi Alapellátás</t>
  </si>
  <si>
    <t>Csillag-Közi Központi Társulási Óvoda</t>
  </si>
  <si>
    <t xml:space="preserve">Kistérségi Szociális Szolgálat </t>
  </si>
  <si>
    <t>Intézmény összesen</t>
  </si>
  <si>
    <t>Önkormányzat</t>
  </si>
  <si>
    <t>Mindösszesen</t>
  </si>
  <si>
    <t>A  2013. évi címrend szerinti költségvetési engedélyezett létszámkeret (álláshely)</t>
  </si>
  <si>
    <t>1. Az önállóan gazdálkodó és működő költségvetési intézmények címrend szerinti engedélyezett létszámkerete</t>
  </si>
  <si>
    <t xml:space="preserve">B </t>
  </si>
  <si>
    <t>Sorszám</t>
  </si>
  <si>
    <t>Megnevezés</t>
  </si>
  <si>
    <t>2012. terv 01.01.</t>
  </si>
  <si>
    <t xml:space="preserve">2012.12.31. tény </t>
  </si>
  <si>
    <t>2013. 03.01-től</t>
  </si>
  <si>
    <t>2013. 06.01-től</t>
  </si>
  <si>
    <t>2013. 07.01-től</t>
  </si>
  <si>
    <t>2013. 08.01-től</t>
  </si>
  <si>
    <t>Városi Egészségügyi Alapellátás</t>
  </si>
  <si>
    <t>Önállóan működő intézmények összesen</t>
  </si>
  <si>
    <t>Közfoglalkoztatottak</t>
  </si>
  <si>
    <t>2. Az önállóan működő költségvetési intézmények címrend szerinti engedélyezett létszámkerete</t>
  </si>
  <si>
    <t>Kistérségi Szociális Szolgálat</t>
  </si>
  <si>
    <t>1. Az önkormányzathoz tartozó intézmények felhalmozási bevételei</t>
  </si>
  <si>
    <t>Bevételek</t>
  </si>
  <si>
    <t>Ingatlan értékesítés</t>
  </si>
  <si>
    <t>Szennyvízcsatorna hálózat II. ütem 95 %-os tám. pályázat</t>
  </si>
  <si>
    <t>Időskorúak, fogyatékkal élők nappali ell. ÉAOP.4.1.3. pályázat</t>
  </si>
  <si>
    <t>Kerékpárral Kisvárda és Ajak között támogatás</t>
  </si>
  <si>
    <t>Kerékpárral Kisvárda és Ajak között kötvény felhasználás</t>
  </si>
  <si>
    <t>Városközpont funkcióbővítő fejlesztése ÉAOP-5.1.1/D támogatás</t>
  </si>
  <si>
    <t>Városközpont funkcióbővítő fejlesztéséhez kötvény felhasználás</t>
  </si>
  <si>
    <t>VárosKözp. pályázat-Konf. Közp. kötvény felhasználás (ISZC tagi kölcsön)</t>
  </si>
  <si>
    <t>Tompos úti tagóvoda ÉAOP-4.1.1/A támogatás</t>
  </si>
  <si>
    <t>Várszínház és Művészetek Háza felhalmozási célú támogatása</t>
  </si>
  <si>
    <t>Számítástechn.eszközbeszerzés(okt. intézm.)TIOP-1.1.1-07/1 támogatás</t>
  </si>
  <si>
    <t>Bölcsőde rekonstrukció ÉÁOP.4.1.3. pályázat</t>
  </si>
  <si>
    <t>Bölcsőde rekonstrukció kötvény felhasználás</t>
  </si>
  <si>
    <t>Öveges Program keretében Bessenyei Gy. G. Dr. Béres József Laboratórium korszerűsítése, működtetetése</t>
  </si>
  <si>
    <t>Kisvárdai óvodák fejlesztésének támogatása</t>
  </si>
  <si>
    <t>Térfigyelő kamerarendszer kialakít., kamerák beszerz. pénzmaradványból</t>
  </si>
  <si>
    <t>Köztéri műalkotás létrehozásának támogatása</t>
  </si>
  <si>
    <t>Komplex telep program (képzés+Tordai u. 20. sz. alatti fejlesztés+közösségi ház kialakítás pály. támogatás</t>
  </si>
  <si>
    <t>Bűnmegelőzési projekt (rendezvények+oktatás+kisért. tárgyi eszk.besz.)</t>
  </si>
  <si>
    <t>Rugalmas munkahelyek projekt (képzés+szakmai szolg.díja)</t>
  </si>
  <si>
    <t>Modellkísérlet a szoc. Alapszolg.feladatok funkcionális összekapcsolására (szakmai megvalósítók díja+kis értékű tárgyi eszk.besz)</t>
  </si>
  <si>
    <t>Darusziget u.csapadékvízelvezető csatorna építés körny.véd.alap(pénzmar.)</t>
  </si>
  <si>
    <t>Egészségügyi Alapellátás épület felújítás, akadálymentesítés támogatása</t>
  </si>
  <si>
    <t xml:space="preserve">Rétközi Múzeum TÁMOP 3.2.8.B-12/1 eszközbeszerzés támogatása </t>
  </si>
  <si>
    <t>Rétközi Múzeum TIOP-1.2.2-11/1. épület felújítás támogatása</t>
  </si>
  <si>
    <t>Start munka felhalmozási célú támogatásértékű bevétel</t>
  </si>
  <si>
    <t>Felhalmozási célú kamatbevételek</t>
  </si>
  <si>
    <t>Önkormányzati vagyon, egyéb helyiségek bérbeadásának bevétele</t>
  </si>
  <si>
    <t>Települési folyékony hulladék elhelyezési díj</t>
  </si>
  <si>
    <t>Önkormányzat pénzmaradvány (kötvény, elkülönített számla)</t>
  </si>
  <si>
    <t>Összesen:</t>
  </si>
  <si>
    <t>2. Az önkormányzathoz tartozó intézmények felhalmozási kiadásai</t>
  </si>
  <si>
    <t>Kiadások</t>
  </si>
  <si>
    <t>Beruházási felhalmozási kiadások :</t>
  </si>
  <si>
    <t>Szennyvízcsatorna hálózat II. pótl. terv, vagyonértékelés</t>
  </si>
  <si>
    <t>Számítástechnikai eszközök beszerzése oktatási intézmények részére</t>
  </si>
  <si>
    <t>Kerékpár pályázat Kerékpárral Kisvárda és Ajak között</t>
  </si>
  <si>
    <t>Bölcsőde rekonstrukció</t>
  </si>
  <si>
    <t>Kisvárdai óvodák fejlesztése</t>
  </si>
  <si>
    <t>Térfigyelő kamerarendszer kialakítása, kamerák beszerzése</t>
  </si>
  <si>
    <t>Köztéri műalkotás létrehozása</t>
  </si>
  <si>
    <t>Komplex telep program (képzés+Tordai u. 20. sz. alatti fejlesztés+közösségi ház kialakítás</t>
  </si>
  <si>
    <t>Bűnmegelőzési projekt (rendezvények+oktatás+kisértékű tárgyi eszk.besz.)</t>
  </si>
  <si>
    <t>Belterületi csapadékvíz hálózat rekonstrukció tervkészítés</t>
  </si>
  <si>
    <t>Darusziget u.csapadékvízelvezető csatorna építés körny.véd.alap terhére</t>
  </si>
  <si>
    <t>Városi Könyvtár számtech. eszköz beszerzés</t>
  </si>
  <si>
    <t>Várszínház és Művészetek Háza eszközbeszerzés</t>
  </si>
  <si>
    <t>Rétközi Múzeum TÁMOP eszközbeszerzés</t>
  </si>
  <si>
    <t>Köztemető bővítéshez ingatlan vásárlás, kisajátítás</t>
  </si>
  <si>
    <t>Kisbusz vásárlás</t>
  </si>
  <si>
    <t>Startmunkához saját erő (kisteherautó vásárlás)</t>
  </si>
  <si>
    <t>Start munka keretében pótkocsi, öntözőtartály,aprítógép, kazán vásárlás</t>
  </si>
  <si>
    <t>Felújítási felhalmozási kiadások :</t>
  </si>
  <si>
    <t xml:space="preserve">Időskorúak és fogyatékkal élők nappali ellátása </t>
  </si>
  <si>
    <t>Tompos úti Tagóvoda felújítása</t>
  </si>
  <si>
    <t>Várszínház és Művészetek Háza felújítási költségei</t>
  </si>
  <si>
    <t>Egészségügyi Alapellátás épületének felújítása, akadálymentesítése</t>
  </si>
  <si>
    <t>Rétközi Múzeum TIOP épület felújítás</t>
  </si>
  <si>
    <t>Ingatlankezelés szakfeladat épületfelújítáas</t>
  </si>
  <si>
    <t>Utak, járdák felújítása</t>
  </si>
  <si>
    <t>Szociális Szolgálat felújítása</t>
  </si>
  <si>
    <t>Egyéb felhalmozási kiadások :</t>
  </si>
  <si>
    <t>NYÍRSÉGVÍZ részvényvásárlás</t>
  </si>
  <si>
    <t>Tartalék (kötvényből, elkülönített pénzeszközökből)</t>
  </si>
  <si>
    <t>Felhalmozási ktgvetési támogatás</t>
  </si>
  <si>
    <t>2013. III. módosítás</t>
  </si>
  <si>
    <t xml:space="preserve">E </t>
  </si>
  <si>
    <t>Városi Könyvtár érdekeltségnövelő központi támogatása</t>
  </si>
  <si>
    <t>Parkfenntartási feladatok ellátása (fűnyírótraktor,fűkasza)</t>
  </si>
  <si>
    <t>Műfüves Labdarugó Sportpálya (saját erő)</t>
  </si>
  <si>
    <t>Közös Önkormányzati Hivatal</t>
  </si>
  <si>
    <t xml:space="preserve">        Kisvárda Polgármesteri Hivatal</t>
  </si>
  <si>
    <t xml:space="preserve">        Kékcse kirendeltség</t>
  </si>
  <si>
    <t>5/A</t>
  </si>
  <si>
    <t>5/B</t>
  </si>
  <si>
    <t>5/A/1</t>
  </si>
  <si>
    <t>5/A/3</t>
  </si>
  <si>
    <t>5/A/2</t>
  </si>
  <si>
    <t xml:space="preserve">       Központosított felhalmozási</t>
  </si>
  <si>
    <t>104.</t>
  </si>
  <si>
    <t>Bevételek összesen 39+40+55</t>
  </si>
  <si>
    <t>Kiadások összesen 90+100</t>
  </si>
  <si>
    <t>KÖLTSÉGVETÉSI HIÁNY, TÖBBLET 39-90</t>
  </si>
  <si>
    <t>FINANSZÍROZÁSI CÉLÚ MŰVELETEK EGYENLEGE 55-100</t>
  </si>
  <si>
    <t>Kisvárda Polg. Hivatal</t>
  </si>
  <si>
    <t>Közös Polg. Hivatal</t>
  </si>
  <si>
    <t>Kékcse Kirendeltség</t>
  </si>
  <si>
    <t>Északi Kertváros szoc.jellegű városrehab ÉÁOP-5.1.1/A</t>
  </si>
  <si>
    <t>Kult Ház és egyéb Köz Helyek funkció bővítő városfejl. ÉÁOP-5.1.1/D</t>
  </si>
  <si>
    <t>Közművelődési érdekeltségi hozzájárulás (Múzeum)</t>
  </si>
  <si>
    <t>ISZC Kft. támogatása (Várfürdő felújítása)</t>
  </si>
  <si>
    <t>Tagi kölcsön nyújtása ISZC Kft.</t>
  </si>
  <si>
    <t>Városi Tornacsarnok támogatása (burkolat felújítás)</t>
  </si>
  <si>
    <t>Feladat megnevezése</t>
  </si>
  <si>
    <t>Beruházás összköltsége</t>
  </si>
  <si>
    <t>Előző évek ráfordítása</t>
  </si>
  <si>
    <t>2013. évi kiadás</t>
  </si>
  <si>
    <t>2014. évi kiadás</t>
  </si>
  <si>
    <t>Támogatás</t>
  </si>
  <si>
    <t>Saját erő</t>
  </si>
  <si>
    <t>Számítástechnikai eszközök beszerzése</t>
  </si>
  <si>
    <t>Időskorúak és fogyatékkal élők nappali ellátása</t>
  </si>
  <si>
    <t>Városközpont funkcióbővítő fejlesztése</t>
  </si>
  <si>
    <t xml:space="preserve">Szennyvízcsatorna hálózat építése II. ütem </t>
  </si>
  <si>
    <t>Bölcsőde rekonstrukció és férőhelybővítés Kisvárdán</t>
  </si>
  <si>
    <t>Öveges Program keretében a Bessenyei Gy. Gimnázium Dr. Béres József laboratórium korszerűsítése és fejlesztése</t>
  </si>
  <si>
    <t>Modellkísérlet</t>
  </si>
  <si>
    <t>Kerékpárral Kisvárda és Ajak között</t>
  </si>
  <si>
    <t>Tompos úti tagóvoda felújítása</t>
  </si>
  <si>
    <t>KAPU 2. Északi Kertváros szociális jell. városrehabilitáció</t>
  </si>
  <si>
    <t>KAPU Kult Ház és egyéb közhelyek funkcióbőv.városfejl.</t>
  </si>
  <si>
    <t xml:space="preserve"> Az államháztartáson kívülre nyújtott támogatások részletezése</t>
  </si>
  <si>
    <t>Támogatott szervezet neve</t>
  </si>
  <si>
    <t>Támogatás célja</t>
  </si>
  <si>
    <t>Civil szervezetek támogatása</t>
  </si>
  <si>
    <t>közösségi tevékenység</t>
  </si>
  <si>
    <t>Sportegyesületek támogatása</t>
  </si>
  <si>
    <t>sporttevékenység</t>
  </si>
  <si>
    <t>Polgárőrség támogatása</t>
  </si>
  <si>
    <t>közbiztonság</t>
  </si>
  <si>
    <t>ISZC KHT támogatása</t>
  </si>
  <si>
    <t xml:space="preserve">sport és önk. vagyonon végzett felújítás </t>
  </si>
  <si>
    <t>Rendőrség támogatása</t>
  </si>
  <si>
    <t>Intézményműködtető Kft. támogatása</t>
  </si>
  <si>
    <t>közokt. int. működtetés, közétkeztetés</t>
  </si>
  <si>
    <t>Ugat-lak Alapítvány támogatása</t>
  </si>
  <si>
    <t>állategészségügy</t>
  </si>
  <si>
    <t>Közművelődési tevékenységek támogatása</t>
  </si>
  <si>
    <t>oktatás, kultúra, kiadványok</t>
  </si>
  <si>
    <t>Házi orvosok támogatása</t>
  </si>
  <si>
    <t>eü. alapellátási tevékenység</t>
  </si>
  <si>
    <t>8. melléklet a ...../.... (....) önkormányzati rendelethez</t>
  </si>
  <si>
    <t>Zemplén TV támogatása</t>
  </si>
  <si>
    <t>működés támogatása</t>
  </si>
  <si>
    <t>tehetséges tan. támogatása</t>
  </si>
  <si>
    <t>Bursa tanulói ösztöndíj,tehetséges tan. támogatása</t>
  </si>
  <si>
    <t>2013.évi módosított</t>
  </si>
  <si>
    <t>2013. 09.01-től</t>
  </si>
  <si>
    <t>Városi Könyvtár tám.ért. felhalm. bevétel</t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</si>
</sst>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#,##0.0"/>
    <numFmt numFmtId="177" formatCode="0.00000"/>
    <numFmt numFmtId="178" formatCode="_-* #,##0.0\ _F_t_-;\-* #,##0.0\ _F_t_-;_-* &quot;-&quot;??\ _F_t_-;_-@_-"/>
    <numFmt numFmtId="179" formatCode="_-* #,##0\ _F_t_-;\-* #,##0\ _F_t_-;_-* &quot;-&quot;?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0.000000"/>
    <numFmt numFmtId="184" formatCode="&quot;H-&quot;0000"/>
    <numFmt numFmtId="185" formatCode="0.0000000"/>
    <numFmt numFmtId="186" formatCode="#,##0\ &quot;Ft&quot;"/>
    <numFmt numFmtId="187" formatCode="0.0%"/>
    <numFmt numFmtId="188" formatCode="m\.\ d\."/>
    <numFmt numFmtId="189" formatCode="mmm/yyyy"/>
    <numFmt numFmtId="190" formatCode="#,##0_ ;\-#,##0\ "/>
    <numFmt numFmtId="191" formatCode="#,###"/>
    <numFmt numFmtId="192" formatCode="_-* #,##0.00\ _F_t_-;\-* #,##0.00\ _F_t_-;_-* \-??\ _F_t_-;_-@_-"/>
    <numFmt numFmtId="193" formatCode="yyyy\-mm\-dd"/>
    <numFmt numFmtId="194" formatCode="#"/>
    <numFmt numFmtId="195" formatCode="#,##0.000"/>
    <numFmt numFmtId="196" formatCode="#,##0.0000"/>
    <numFmt numFmtId="197" formatCode="00"/>
    <numFmt numFmtId="198" formatCode="[$€-2]\ #\ ##,000_);[Red]\([$€-2]\ #\ ##,000\)"/>
    <numFmt numFmtId="199" formatCode="[$-40E]yyyy\.\ mmmm\ d\."/>
    <numFmt numFmtId="200" formatCode="yyyy\-mm"/>
    <numFmt numFmtId="201" formatCode="&quot;€&quot;#,##0;\-&quot;€&quot;#,##0"/>
    <numFmt numFmtId="202" formatCode="&quot;€&quot;#,##0;[Red]\-&quot;€&quot;#,##0"/>
    <numFmt numFmtId="203" formatCode="&quot;€&quot;#,##0.00;\-&quot;€&quot;#,##0.00"/>
    <numFmt numFmtId="204" formatCode="&quot;€&quot;#,##0.00;[Red]\-&quot;€&quot;#,##0.00"/>
    <numFmt numFmtId="205" formatCode="_-&quot;€&quot;* #,##0_-;\-&quot;€&quot;* #,##0_-;_-&quot;€&quot;* &quot;-&quot;_-;_-@_-"/>
    <numFmt numFmtId="206" formatCode="_-* #,##0_-;\-* #,##0_-;_-* &quot;-&quot;_-;_-@_-"/>
    <numFmt numFmtId="207" formatCode="_-&quot;€&quot;* #,##0.00_-;\-&quot;€&quot;* #,##0.00_-;_-&quot;€&quot;* &quot;-&quot;??_-;_-@_-"/>
    <numFmt numFmtId="208" formatCode="_-* #,##0.00_-;\-* #,##0.00_-;_-* &quot;-&quot;??_-;_-@_-"/>
    <numFmt numFmtId="209" formatCode="#,##0.00\ [$Ft-40E];[Red]\-#,##0.00\ [$Ft-40E]"/>
    <numFmt numFmtId="210" formatCode="000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9"/>
      <name val="Arial CE"/>
      <family val="2"/>
    </font>
    <font>
      <b/>
      <sz val="12"/>
      <name val="Arial CE"/>
      <family val="0"/>
    </font>
    <font>
      <sz val="11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sz val="9"/>
      <name val="Arial"/>
      <family val="2"/>
    </font>
    <font>
      <sz val="9"/>
      <name val="Times New Roman CE"/>
      <family val="1"/>
    </font>
    <font>
      <sz val="11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3" fontId="0" fillId="0" borderId="0" xfId="63" applyNumberFormat="1">
      <alignment/>
      <protection/>
    </xf>
    <xf numFmtId="0" fontId="0" fillId="0" borderId="0" xfId="63">
      <alignment/>
      <protection/>
    </xf>
    <xf numFmtId="3" fontId="24" fillId="0" borderId="0" xfId="59" applyNumberFormat="1" applyFont="1" applyAlignment="1">
      <alignment horizontal="center" wrapText="1"/>
      <protection/>
    </xf>
    <xf numFmtId="0" fontId="25" fillId="0" borderId="10" xfId="63" applyFont="1" applyBorder="1">
      <alignment/>
      <protection/>
    </xf>
    <xf numFmtId="0" fontId="24" fillId="0" borderId="11" xfId="63" applyFont="1" applyBorder="1" applyAlignment="1">
      <alignment horizontal="center"/>
      <protection/>
    </xf>
    <xf numFmtId="0" fontId="24" fillId="0" borderId="12" xfId="63" applyFont="1" applyBorder="1" applyAlignment="1">
      <alignment horizontal="center"/>
      <protection/>
    </xf>
    <xf numFmtId="3" fontId="24" fillId="0" borderId="12" xfId="63" applyNumberFormat="1" applyFont="1" applyBorder="1" applyAlignment="1">
      <alignment horizontal="center"/>
      <protection/>
    </xf>
    <xf numFmtId="0" fontId="26" fillId="6" borderId="13" xfId="63" applyFont="1" applyFill="1" applyBorder="1" applyAlignment="1">
      <alignment horizontal="center" vertical="center" wrapText="1"/>
      <protection/>
    </xf>
    <xf numFmtId="0" fontId="27" fillId="6" borderId="14" xfId="63" applyFont="1" applyFill="1" applyBorder="1" applyAlignment="1">
      <alignment horizontal="center" vertical="center" wrapText="1"/>
      <protection/>
    </xf>
    <xf numFmtId="3" fontId="27" fillId="6" borderId="14" xfId="63" applyNumberFormat="1" applyFont="1" applyFill="1" applyBorder="1" applyAlignment="1">
      <alignment horizontal="center" vertical="center" wrapText="1"/>
      <protection/>
    </xf>
    <xf numFmtId="3" fontId="0" fillId="0" borderId="0" xfId="63" applyNumberFormat="1" applyAlignment="1">
      <alignment horizontal="center" vertical="center" wrapText="1"/>
      <protection/>
    </xf>
    <xf numFmtId="0" fontId="0" fillId="0" borderId="0" xfId="63" applyAlignment="1">
      <alignment horizontal="center" vertical="center" wrapText="1"/>
      <protection/>
    </xf>
    <xf numFmtId="0" fontId="25" fillId="0" borderId="15" xfId="63" applyFont="1" applyBorder="1">
      <alignment/>
      <protection/>
    </xf>
    <xf numFmtId="0" fontId="27" fillId="0" borderId="16" xfId="63" applyFont="1" applyBorder="1">
      <alignment/>
      <protection/>
    </xf>
    <xf numFmtId="3" fontId="26" fillId="0" borderId="17" xfId="63" applyNumberFormat="1" applyFont="1" applyBorder="1">
      <alignment/>
      <protection/>
    </xf>
    <xf numFmtId="0" fontId="27" fillId="0" borderId="18" xfId="63" applyFont="1" applyBorder="1">
      <alignment/>
      <protection/>
    </xf>
    <xf numFmtId="3" fontId="26" fillId="0" borderId="19" xfId="63" applyNumberFormat="1" applyFont="1" applyBorder="1">
      <alignment/>
      <protection/>
    </xf>
    <xf numFmtId="0" fontId="24" fillId="0" borderId="18" xfId="63" applyFont="1" applyBorder="1">
      <alignment/>
      <protection/>
    </xf>
    <xf numFmtId="3" fontId="25" fillId="0" borderId="19" xfId="63" applyNumberFormat="1" applyFont="1" applyBorder="1">
      <alignment/>
      <protection/>
    </xf>
    <xf numFmtId="0" fontId="24" fillId="0" borderId="15" xfId="63" applyFont="1" applyBorder="1">
      <alignment/>
      <protection/>
    </xf>
    <xf numFmtId="3" fontId="25" fillId="0" borderId="19" xfId="0" applyNumberFormat="1" applyFont="1" applyBorder="1" applyAlignment="1">
      <alignment/>
    </xf>
    <xf numFmtId="3" fontId="28" fillId="0" borderId="0" xfId="63" applyNumberFormat="1" applyFont="1">
      <alignment/>
      <protection/>
    </xf>
    <xf numFmtId="0" fontId="28" fillId="0" borderId="0" xfId="63" applyFont="1">
      <alignment/>
      <protection/>
    </xf>
    <xf numFmtId="0" fontId="27" fillId="0" borderId="20" xfId="63" applyFont="1" applyBorder="1">
      <alignment/>
      <protection/>
    </xf>
    <xf numFmtId="3" fontId="26" fillId="0" borderId="21" xfId="63" applyNumberFormat="1" applyFont="1" applyBorder="1">
      <alignment/>
      <protection/>
    </xf>
    <xf numFmtId="0" fontId="29" fillId="0" borderId="11" xfId="63" applyFont="1" applyBorder="1" applyAlignment="1">
      <alignment/>
      <protection/>
    </xf>
    <xf numFmtId="0" fontId="29" fillId="0" borderId="20" xfId="62" applyFont="1" applyFill="1" applyBorder="1" applyAlignment="1" applyProtection="1">
      <alignment horizontal="left" wrapText="1"/>
      <protection/>
    </xf>
    <xf numFmtId="3" fontId="30" fillId="0" borderId="21" xfId="63" applyNumberFormat="1" applyFont="1" applyBorder="1">
      <alignment/>
      <protection/>
    </xf>
    <xf numFmtId="0" fontId="0" fillId="0" borderId="0" xfId="63" applyBorder="1">
      <alignment/>
      <protection/>
    </xf>
    <xf numFmtId="0" fontId="25" fillId="0" borderId="22" xfId="63" applyFont="1" applyBorder="1">
      <alignment/>
      <protection/>
    </xf>
    <xf numFmtId="0" fontId="27" fillId="6" borderId="11" xfId="63" applyFont="1" applyFill="1" applyBorder="1">
      <alignment/>
      <protection/>
    </xf>
    <xf numFmtId="3" fontId="26" fillId="6" borderId="12" xfId="63" applyNumberFormat="1" applyFont="1" applyFill="1" applyBorder="1">
      <alignment/>
      <protection/>
    </xf>
    <xf numFmtId="0" fontId="25" fillId="0" borderId="0" xfId="63" applyFont="1">
      <alignment/>
      <protection/>
    </xf>
    <xf numFmtId="3" fontId="25" fillId="0" borderId="0" xfId="63" applyNumberFormat="1" applyFont="1">
      <alignment/>
      <protection/>
    </xf>
    <xf numFmtId="0" fontId="24" fillId="0" borderId="0" xfId="59" applyFont="1" applyAlignment="1">
      <alignment horizontal="center" wrapText="1"/>
      <protection/>
    </xf>
    <xf numFmtId="0" fontId="31" fillId="0" borderId="0" xfId="59" applyFont="1" applyAlignment="1">
      <alignment horizontal="center" wrapText="1"/>
      <protection/>
    </xf>
    <xf numFmtId="3" fontId="31" fillId="0" borderId="0" xfId="59" applyNumberFormat="1" applyFont="1" applyAlignment="1">
      <alignment horizontal="center" wrapText="1"/>
      <protection/>
    </xf>
    <xf numFmtId="0" fontId="25" fillId="0" borderId="23" xfId="63" applyFont="1" applyBorder="1">
      <alignment/>
      <protection/>
    </xf>
    <xf numFmtId="0" fontId="26" fillId="6" borderId="13" xfId="63" applyFont="1" applyFill="1" applyBorder="1" applyAlignment="1">
      <alignment horizontal="center"/>
      <protection/>
    </xf>
    <xf numFmtId="3" fontId="0" fillId="0" borderId="0" xfId="63" applyNumberFormat="1" applyBorder="1">
      <alignment/>
      <protection/>
    </xf>
    <xf numFmtId="191" fontId="2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21" xfId="63" applyNumberFormat="1" applyFont="1" applyBorder="1">
      <alignment/>
      <protection/>
    </xf>
    <xf numFmtId="3" fontId="30" fillId="0" borderId="12" xfId="63" applyNumberFormat="1" applyFont="1" applyBorder="1">
      <alignment/>
      <protection/>
    </xf>
    <xf numFmtId="0" fontId="27" fillId="0" borderId="18" xfId="63" applyFont="1" applyBorder="1" applyAlignment="1">
      <alignment vertical="center"/>
      <protection/>
    </xf>
    <xf numFmtId="0" fontId="26" fillId="0" borderId="21" xfId="63" applyFont="1" applyBorder="1">
      <alignment/>
      <protection/>
    </xf>
    <xf numFmtId="0" fontId="29" fillId="0" borderId="11" xfId="62" applyFont="1" applyFill="1" applyBorder="1" applyAlignment="1" applyProtection="1">
      <alignment horizontal="left" wrapText="1"/>
      <protection/>
    </xf>
    <xf numFmtId="3" fontId="30" fillId="0" borderId="12" xfId="63" applyNumberFormat="1" applyFont="1" applyFill="1" applyBorder="1">
      <alignment/>
      <protection/>
    </xf>
    <xf numFmtId="3" fontId="27" fillId="6" borderId="11" xfId="63" applyNumberFormat="1" applyFont="1" applyFill="1" applyBorder="1">
      <alignment/>
      <protection/>
    </xf>
    <xf numFmtId="0" fontId="0" fillId="0" borderId="11" xfId="63" applyBorder="1">
      <alignment/>
      <protection/>
    </xf>
    <xf numFmtId="3" fontId="25" fillId="0" borderId="12" xfId="63" applyNumberFormat="1" applyFont="1" applyBorder="1">
      <alignment/>
      <protection/>
    </xf>
    <xf numFmtId="191" fontId="27" fillId="0" borderId="11" xfId="0" applyNumberFormat="1" applyFont="1" applyFill="1" applyBorder="1" applyAlignment="1">
      <alignment horizontal="left" wrapText="1" indent="1"/>
    </xf>
    <xf numFmtId="3" fontId="26" fillId="0" borderId="12" xfId="63" applyNumberFormat="1" applyFont="1" applyBorder="1">
      <alignment/>
      <protection/>
    </xf>
    <xf numFmtId="0" fontId="27" fillId="0" borderId="11" xfId="63" applyFont="1" applyBorder="1" applyAlignment="1">
      <alignment horizontal="left" indent="1"/>
      <protection/>
    </xf>
    <xf numFmtId="0" fontId="32" fillId="0" borderId="0" xfId="59" applyFont="1" applyBorder="1" applyAlignment="1">
      <alignment horizontal="right" wrapText="1"/>
      <protection/>
    </xf>
    <xf numFmtId="0" fontId="25" fillId="0" borderId="11" xfId="63" applyFont="1" applyBorder="1" applyAlignment="1">
      <alignment horizontal="center"/>
      <protection/>
    </xf>
    <xf numFmtId="0" fontId="25" fillId="0" borderId="12" xfId="63" applyFont="1" applyBorder="1" applyAlignment="1">
      <alignment horizontal="center"/>
      <protection/>
    </xf>
    <xf numFmtId="0" fontId="25" fillId="0" borderId="24" xfId="63" applyFont="1" applyBorder="1" applyAlignment="1">
      <alignment horizontal="center"/>
      <protection/>
    </xf>
    <xf numFmtId="0" fontId="27" fillId="6" borderId="24" xfId="63" applyFont="1" applyFill="1" applyBorder="1" applyAlignment="1">
      <alignment horizontal="center" vertical="center" wrapText="1"/>
      <protection/>
    </xf>
    <xf numFmtId="191" fontId="2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17" xfId="63" applyNumberFormat="1" applyFont="1" applyBorder="1">
      <alignment/>
      <protection/>
    </xf>
    <xf numFmtId="3" fontId="25" fillId="0" borderId="25" xfId="63" applyNumberFormat="1" applyFont="1" applyBorder="1">
      <alignment/>
      <protection/>
    </xf>
    <xf numFmtId="3" fontId="25" fillId="0" borderId="26" xfId="63" applyNumberFormat="1" applyFont="1" applyBorder="1">
      <alignment/>
      <protection/>
    </xf>
    <xf numFmtId="191" fontId="2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27" xfId="63" applyNumberFormat="1" applyFont="1" applyBorder="1">
      <alignment/>
      <protection/>
    </xf>
    <xf numFmtId="191" fontId="2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3" fontId="26" fillId="0" borderId="12" xfId="63" applyNumberFormat="1" applyFont="1" applyBorder="1" applyAlignment="1">
      <alignment vertical="center"/>
      <protection/>
    </xf>
    <xf numFmtId="3" fontId="26" fillId="0" borderId="24" xfId="63" applyNumberFormat="1" applyFont="1" applyBorder="1" applyAlignment="1">
      <alignment vertical="center"/>
      <protection/>
    </xf>
    <xf numFmtId="191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91" fontId="2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3" fontId="26" fillId="0" borderId="25" xfId="63" applyNumberFormat="1" applyFont="1" applyBorder="1">
      <alignment/>
      <protection/>
    </xf>
    <xf numFmtId="191" fontId="2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3" fontId="26" fillId="0" borderId="26" xfId="63" applyNumberFormat="1" applyFont="1" applyBorder="1">
      <alignment/>
      <protection/>
    </xf>
    <xf numFmtId="0" fontId="25" fillId="0" borderId="19" xfId="63" applyFont="1" applyBorder="1">
      <alignment/>
      <protection/>
    </xf>
    <xf numFmtId="0" fontId="25" fillId="0" borderId="26" xfId="63" applyFont="1" applyBorder="1">
      <alignment/>
      <protection/>
    </xf>
    <xf numFmtId="191" fontId="27" fillId="6" borderId="11" xfId="0" applyNumberFormat="1" applyFont="1" applyFill="1" applyBorder="1" applyAlignment="1">
      <alignment horizontal="left" vertical="center" wrapText="1" indent="1"/>
    </xf>
    <xf numFmtId="3" fontId="26" fillId="6" borderId="12" xfId="63" applyNumberFormat="1" applyFont="1" applyFill="1" applyBorder="1" applyAlignment="1">
      <alignment vertical="center"/>
      <protection/>
    </xf>
    <xf numFmtId="3" fontId="26" fillId="6" borderId="24" xfId="63" applyNumberFormat="1" applyFont="1" applyFill="1" applyBorder="1" applyAlignment="1">
      <alignment vertical="center"/>
      <protection/>
    </xf>
    <xf numFmtId="191" fontId="27" fillId="0" borderId="11" xfId="0" applyNumberFormat="1" applyFont="1" applyFill="1" applyBorder="1" applyAlignment="1">
      <alignment horizontal="left" vertical="center" wrapText="1" indent="1"/>
    </xf>
    <xf numFmtId="0" fontId="25" fillId="0" borderId="0" xfId="63" applyFont="1" applyBorder="1">
      <alignment/>
      <protection/>
    </xf>
    <xf numFmtId="191" fontId="27" fillId="0" borderId="0" xfId="0" applyNumberFormat="1" applyFont="1" applyFill="1" applyBorder="1" applyAlignment="1">
      <alignment horizontal="left" vertical="center" wrapText="1" indent="1"/>
    </xf>
    <xf numFmtId="3" fontId="26" fillId="0" borderId="0" xfId="63" applyNumberFormat="1" applyFont="1" applyBorder="1">
      <alignment/>
      <protection/>
    </xf>
    <xf numFmtId="191" fontId="27" fillId="0" borderId="0" xfId="0" applyNumberFormat="1" applyFont="1" applyFill="1" applyBorder="1" applyAlignment="1">
      <alignment horizontal="right" vertical="center" wrapText="1" indent="1"/>
    </xf>
    <xf numFmtId="3" fontId="25" fillId="0" borderId="0" xfId="63" applyNumberFormat="1" applyFont="1" applyBorder="1">
      <alignment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91" fontId="26" fillId="6" borderId="11" xfId="0" applyNumberFormat="1" applyFont="1" applyFill="1" applyBorder="1" applyAlignment="1">
      <alignment horizontal="left" vertical="center" wrapText="1" indent="1"/>
    </xf>
    <xf numFmtId="0" fontId="0" fillId="0" borderId="0" xfId="65" applyFont="1">
      <alignment/>
      <protection/>
    </xf>
    <xf numFmtId="0" fontId="0" fillId="0" borderId="28" xfId="65" applyFont="1" applyBorder="1">
      <alignment/>
      <protection/>
    </xf>
    <xf numFmtId="0" fontId="0" fillId="0" borderId="29" xfId="65" applyFont="1" applyBorder="1" applyAlignment="1">
      <alignment horizontal="center"/>
      <protection/>
    </xf>
    <xf numFmtId="0" fontId="0" fillId="0" borderId="12" xfId="65" applyFont="1" applyBorder="1" applyAlignment="1">
      <alignment horizontal="center"/>
      <protection/>
    </xf>
    <xf numFmtId="0" fontId="22" fillId="0" borderId="12" xfId="58" applyFont="1" applyBorder="1" applyAlignment="1">
      <alignment horizontal="center"/>
      <protection/>
    </xf>
    <xf numFmtId="0" fontId="22" fillId="0" borderId="24" xfId="58" applyFont="1" applyBorder="1" applyAlignment="1">
      <alignment horizontal="center"/>
      <protection/>
    </xf>
    <xf numFmtId="0" fontId="0" fillId="0" borderId="30" xfId="65" applyFont="1" applyBorder="1">
      <alignment/>
      <protection/>
    </xf>
    <xf numFmtId="0" fontId="0" fillId="0" borderId="31" xfId="65" applyFont="1" applyBorder="1">
      <alignment/>
      <protection/>
    </xf>
    <xf numFmtId="0" fontId="33" fillId="0" borderId="32" xfId="65" applyFont="1" applyBorder="1" applyAlignment="1">
      <alignment horizontal="centerContinuous"/>
      <protection/>
    </xf>
    <xf numFmtId="0" fontId="33" fillId="0" borderId="33" xfId="65" applyFont="1" applyBorder="1" applyAlignment="1">
      <alignment horizontal="centerContinuous"/>
      <protection/>
    </xf>
    <xf numFmtId="0" fontId="33" fillId="0" borderId="34" xfId="65" applyFont="1" applyBorder="1" applyAlignment="1">
      <alignment horizontal="centerContinuous"/>
      <protection/>
    </xf>
    <xf numFmtId="0" fontId="26" fillId="6" borderId="35" xfId="65" applyFont="1" applyFill="1" applyBorder="1" applyAlignment="1">
      <alignment horizontal="center" vertical="center"/>
      <protection/>
    </xf>
    <xf numFmtId="0" fontId="26" fillId="6" borderId="13" xfId="65" applyFont="1" applyFill="1" applyBorder="1" applyAlignment="1">
      <alignment horizontal="center" vertical="center"/>
      <protection/>
    </xf>
    <xf numFmtId="0" fontId="26" fillId="6" borderId="14" xfId="65" applyFont="1" applyFill="1" applyBorder="1" applyAlignment="1">
      <alignment horizontal="center" vertical="center"/>
      <protection/>
    </xf>
    <xf numFmtId="0" fontId="26" fillId="6" borderId="14" xfId="65" applyFont="1" applyFill="1" applyBorder="1" applyAlignment="1">
      <alignment horizontal="center" vertical="center" wrapText="1"/>
      <protection/>
    </xf>
    <xf numFmtId="0" fontId="26" fillId="6" borderId="36" xfId="65" applyFont="1" applyFill="1" applyBorder="1" applyAlignment="1">
      <alignment horizontal="center" vertical="center" wrapText="1"/>
      <protection/>
    </xf>
    <xf numFmtId="0" fontId="26" fillId="6" borderId="28" xfId="65" applyFont="1" applyFill="1" applyBorder="1" applyAlignment="1">
      <alignment horizontal="center" vertical="center"/>
      <protection/>
    </xf>
    <xf numFmtId="0" fontId="26" fillId="6" borderId="37" xfId="65" applyFont="1" applyFill="1" applyBorder="1" applyAlignment="1">
      <alignment horizontal="center" vertical="center"/>
      <protection/>
    </xf>
    <xf numFmtId="0" fontId="26" fillId="6" borderId="36" xfId="65" applyFont="1" applyFill="1" applyBorder="1" applyAlignment="1">
      <alignment horizontal="center" vertical="center"/>
      <protection/>
    </xf>
    <xf numFmtId="0" fontId="0" fillId="0" borderId="38" xfId="65" applyFont="1" applyBorder="1">
      <alignment/>
      <protection/>
    </xf>
    <xf numFmtId="3" fontId="34" fillId="0" borderId="39" xfId="65" applyNumberFormat="1" applyFont="1" applyBorder="1">
      <alignment/>
      <protection/>
    </xf>
    <xf numFmtId="3" fontId="34" fillId="0" borderId="17" xfId="65" applyNumberFormat="1" applyFont="1" applyBorder="1">
      <alignment/>
      <protection/>
    </xf>
    <xf numFmtId="3" fontId="34" fillId="0" borderId="40" xfId="65" applyNumberFormat="1" applyFont="1" applyBorder="1">
      <alignment/>
      <protection/>
    </xf>
    <xf numFmtId="3" fontId="23" fillId="0" borderId="41" xfId="65" applyNumberFormat="1" applyFont="1" applyBorder="1">
      <alignment/>
      <protection/>
    </xf>
    <xf numFmtId="3" fontId="34" fillId="0" borderId="16" xfId="65" applyNumberFormat="1" applyFont="1" applyBorder="1">
      <alignment/>
      <protection/>
    </xf>
    <xf numFmtId="3" fontId="34" fillId="0" borderId="25" xfId="65" applyNumberFormat="1" applyFont="1" applyBorder="1">
      <alignment/>
      <protection/>
    </xf>
    <xf numFmtId="3" fontId="0" fillId="0" borderId="0" xfId="65" applyNumberFormat="1" applyFont="1">
      <alignment/>
      <protection/>
    </xf>
    <xf numFmtId="3" fontId="34" fillId="0" borderId="19" xfId="65" applyNumberFormat="1" applyFont="1" applyBorder="1">
      <alignment/>
      <protection/>
    </xf>
    <xf numFmtId="3" fontId="23" fillId="0" borderId="38" xfId="65" applyNumberFormat="1" applyFont="1" applyBorder="1">
      <alignment/>
      <protection/>
    </xf>
    <xf numFmtId="3" fontId="34" fillId="0" borderId="18" xfId="65" applyNumberFormat="1" applyFont="1" applyBorder="1">
      <alignment/>
      <protection/>
    </xf>
    <xf numFmtId="3" fontId="34" fillId="0" borderId="26" xfId="65" applyNumberFormat="1" applyFont="1" applyBorder="1">
      <alignment/>
      <protection/>
    </xf>
    <xf numFmtId="3" fontId="34" fillId="0" borderId="19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3" fontId="23" fillId="0" borderId="19" xfId="65" applyNumberFormat="1" applyFont="1" applyBorder="1">
      <alignment/>
      <protection/>
    </xf>
    <xf numFmtId="3" fontId="23" fillId="0" borderId="26" xfId="65" applyNumberFormat="1" applyFont="1" applyBorder="1">
      <alignment/>
      <protection/>
    </xf>
    <xf numFmtId="3" fontId="23" fillId="0" borderId="42" xfId="65" applyNumberFormat="1" applyFont="1" applyBorder="1">
      <alignment/>
      <protection/>
    </xf>
    <xf numFmtId="3" fontId="34" fillId="0" borderId="20" xfId="57" applyNumberFormat="1" applyFont="1" applyBorder="1">
      <alignment/>
      <protection/>
    </xf>
    <xf numFmtId="3" fontId="34" fillId="0" borderId="21" xfId="57" applyNumberFormat="1" applyFont="1" applyBorder="1">
      <alignment/>
      <protection/>
    </xf>
    <xf numFmtId="3" fontId="34" fillId="0" borderId="27" xfId="57" applyNumberFormat="1" applyFont="1" applyBorder="1">
      <alignment/>
      <protection/>
    </xf>
    <xf numFmtId="0" fontId="34" fillId="0" borderId="38" xfId="65" applyFont="1" applyBorder="1">
      <alignment/>
      <protection/>
    </xf>
    <xf numFmtId="0" fontId="25" fillId="6" borderId="43" xfId="65" applyFont="1" applyFill="1" applyBorder="1" applyAlignment="1">
      <alignment horizontal="center" vertical="center" wrapText="1"/>
      <protection/>
    </xf>
    <xf numFmtId="3" fontId="23" fillId="6" borderId="11" xfId="57" applyNumberFormat="1" applyFont="1" applyFill="1" applyBorder="1">
      <alignment/>
      <protection/>
    </xf>
    <xf numFmtId="3" fontId="23" fillId="6" borderId="12" xfId="57" applyNumberFormat="1" applyFont="1" applyFill="1" applyBorder="1">
      <alignment/>
      <protection/>
    </xf>
    <xf numFmtId="3" fontId="23" fillId="6" borderId="44" xfId="57" applyNumberFormat="1" applyFont="1" applyFill="1" applyBorder="1">
      <alignment/>
      <protection/>
    </xf>
    <xf numFmtId="3" fontId="23" fillId="6" borderId="24" xfId="57" applyNumberFormat="1" applyFont="1" applyFill="1" applyBorder="1">
      <alignment/>
      <protection/>
    </xf>
    <xf numFmtId="3" fontId="34" fillId="0" borderId="0" xfId="65" applyNumberFormat="1" applyFont="1">
      <alignment/>
      <protection/>
    </xf>
    <xf numFmtId="0" fontId="34" fillId="0" borderId="0" xfId="65" applyFont="1">
      <alignment/>
      <protection/>
    </xf>
    <xf numFmtId="0" fontId="27" fillId="0" borderId="45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vertical="center"/>
      <protection/>
    </xf>
    <xf numFmtId="3" fontId="27" fillId="0" borderId="46" xfId="65" applyNumberFormat="1" applyFont="1" applyFill="1" applyBorder="1" applyAlignment="1">
      <alignment vertical="center" wrapText="1"/>
      <protection/>
    </xf>
    <xf numFmtId="3" fontId="34" fillId="0" borderId="20" xfId="65" applyNumberFormat="1" applyFont="1" applyBorder="1">
      <alignment/>
      <protection/>
    </xf>
    <xf numFmtId="3" fontId="34" fillId="0" borderId="21" xfId="65" applyNumberFormat="1" applyFont="1" applyBorder="1">
      <alignment/>
      <protection/>
    </xf>
    <xf numFmtId="3" fontId="23" fillId="0" borderId="42" xfId="65" applyNumberFormat="1" applyFont="1" applyFill="1" applyBorder="1">
      <alignment/>
      <protection/>
    </xf>
    <xf numFmtId="3" fontId="34" fillId="0" borderId="20" xfId="65" applyNumberFormat="1" applyFont="1" applyFill="1" applyBorder="1">
      <alignment/>
      <protection/>
    </xf>
    <xf numFmtId="3" fontId="34" fillId="0" borderId="27" xfId="65" applyNumberFormat="1" applyFont="1" applyBorder="1">
      <alignment/>
      <protection/>
    </xf>
    <xf numFmtId="0" fontId="0" fillId="0" borderId="42" xfId="65" applyFont="1" applyBorder="1">
      <alignment/>
      <protection/>
    </xf>
    <xf numFmtId="3" fontId="23" fillId="6" borderId="11" xfId="65" applyNumberFormat="1" applyFont="1" applyFill="1" applyBorder="1">
      <alignment/>
      <protection/>
    </xf>
    <xf numFmtId="3" fontId="23" fillId="6" borderId="47" xfId="65" applyNumberFormat="1" applyFont="1" applyFill="1" applyBorder="1">
      <alignment/>
      <protection/>
    </xf>
    <xf numFmtId="3" fontId="23" fillId="6" borderId="12" xfId="65" applyNumberFormat="1" applyFont="1" applyFill="1" applyBorder="1">
      <alignment/>
      <protection/>
    </xf>
    <xf numFmtId="3" fontId="23" fillId="6" borderId="24" xfId="65" applyNumberFormat="1" applyFont="1" applyFill="1" applyBorder="1">
      <alignment/>
      <protection/>
    </xf>
    <xf numFmtId="3" fontId="34" fillId="0" borderId="0" xfId="65" applyNumberFormat="1" applyFont="1" applyBorder="1">
      <alignment/>
      <protection/>
    </xf>
    <xf numFmtId="3" fontId="34" fillId="0" borderId="0" xfId="65" applyNumberFormat="1" applyFont="1" applyBorder="1">
      <alignment/>
      <protection/>
    </xf>
    <xf numFmtId="3" fontId="28" fillId="0" borderId="0" xfId="65" applyNumberFormat="1" applyFont="1">
      <alignment/>
      <protection/>
    </xf>
    <xf numFmtId="0" fontId="0" fillId="0" borderId="0" xfId="60">
      <alignment/>
      <protection/>
    </xf>
    <xf numFmtId="0" fontId="33" fillId="0" borderId="0" xfId="60" applyFont="1" applyAlignment="1">
      <alignment horizontal="center"/>
      <protection/>
    </xf>
    <xf numFmtId="0" fontId="28" fillId="0" borderId="0" xfId="60" applyFont="1">
      <alignment/>
      <protection/>
    </xf>
    <xf numFmtId="0" fontId="24" fillId="18" borderId="11" xfId="60" applyFont="1" applyFill="1" applyBorder="1" applyAlignment="1">
      <alignment horizontal="center" vertical="center" wrapText="1"/>
      <protection/>
    </xf>
    <xf numFmtId="0" fontId="0" fillId="18" borderId="12" xfId="60" applyFont="1" applyFill="1" applyBorder="1" applyAlignment="1">
      <alignment horizontal="center" vertical="center" wrapText="1"/>
      <protection/>
    </xf>
    <xf numFmtId="0" fontId="25" fillId="18" borderId="12" xfId="60" applyFont="1" applyFill="1" applyBorder="1" applyAlignment="1">
      <alignment horizontal="center" vertical="center" wrapText="1"/>
      <protection/>
    </xf>
    <xf numFmtId="14" fontId="25" fillId="18" borderId="12" xfId="60" applyNumberFormat="1" applyFont="1" applyFill="1" applyBorder="1" applyAlignment="1">
      <alignment horizontal="center" vertical="center" wrapText="1"/>
      <protection/>
    </xf>
    <xf numFmtId="0" fontId="0" fillId="0" borderId="15" xfId="60" applyFont="1" applyBorder="1">
      <alignment/>
      <protection/>
    </xf>
    <xf numFmtId="0" fontId="25" fillId="0" borderId="18" xfId="60" applyFont="1" applyBorder="1" applyAlignment="1">
      <alignment horizontal="center"/>
      <protection/>
    </xf>
    <xf numFmtId="0" fontId="25" fillId="0" borderId="19" xfId="60" applyFont="1" applyBorder="1">
      <alignment/>
      <protection/>
    </xf>
    <xf numFmtId="0" fontId="0" fillId="0" borderId="19" xfId="60" applyBorder="1">
      <alignment/>
      <protection/>
    </xf>
    <xf numFmtId="0" fontId="25" fillId="0" borderId="20" xfId="60" applyFont="1" applyBorder="1" applyAlignment="1">
      <alignment horizontal="center"/>
      <protection/>
    </xf>
    <xf numFmtId="0" fontId="25" fillId="0" borderId="21" xfId="60" applyFont="1" applyBorder="1">
      <alignment/>
      <protection/>
    </xf>
    <xf numFmtId="0" fontId="0" fillId="0" borderId="21" xfId="60" applyBorder="1">
      <alignment/>
      <protection/>
    </xf>
    <xf numFmtId="0" fontId="35" fillId="0" borderId="12" xfId="60" applyFont="1" applyBorder="1">
      <alignment/>
      <protection/>
    </xf>
    <xf numFmtId="3" fontId="35" fillId="0" borderId="12" xfId="60" applyNumberFormat="1" applyFont="1" applyBorder="1">
      <alignment/>
      <protection/>
    </xf>
    <xf numFmtId="0" fontId="25" fillId="0" borderId="0" xfId="60" applyFont="1">
      <alignment/>
      <protection/>
    </xf>
    <xf numFmtId="49" fontId="25" fillId="0" borderId="18" xfId="60" applyNumberFormat="1" applyFont="1" applyBorder="1" applyAlignment="1">
      <alignment horizontal="center"/>
      <protection/>
    </xf>
    <xf numFmtId="49" fontId="25" fillId="0" borderId="20" xfId="60" applyNumberFormat="1" applyFont="1" applyBorder="1" applyAlignment="1">
      <alignment horizontal="center"/>
      <protection/>
    </xf>
    <xf numFmtId="0" fontId="0" fillId="0" borderId="11" xfId="60" applyBorder="1">
      <alignment/>
      <protection/>
    </xf>
    <xf numFmtId="0" fontId="0" fillId="0" borderId="0" xfId="61">
      <alignment/>
      <protection/>
    </xf>
    <xf numFmtId="0" fontId="23" fillId="0" borderId="0" xfId="61" applyFont="1" applyAlignment="1">
      <alignment horizontal="center"/>
      <protection/>
    </xf>
    <xf numFmtId="3" fontId="0" fillId="0" borderId="0" xfId="61" applyNumberFormat="1">
      <alignment/>
      <protection/>
    </xf>
    <xf numFmtId="0" fontId="0" fillId="0" borderId="48" xfId="61" applyBorder="1">
      <alignment/>
      <protection/>
    </xf>
    <xf numFmtId="0" fontId="0" fillId="0" borderId="49" xfId="61" applyBorder="1" applyAlignment="1">
      <alignment horizontal="center" vertical="center" wrapText="1"/>
      <protection/>
    </xf>
    <xf numFmtId="0" fontId="0" fillId="0" borderId="0" xfId="61" applyAlignment="1">
      <alignment horizontal="center" vertical="center" wrapText="1"/>
      <protection/>
    </xf>
    <xf numFmtId="0" fontId="0" fillId="0" borderId="16" xfId="61" applyFont="1" applyBorder="1" applyAlignment="1">
      <alignment vertical="center"/>
      <protection/>
    </xf>
    <xf numFmtId="3" fontId="0" fillId="16" borderId="17" xfId="61" applyNumberFormat="1" applyFill="1" applyBorder="1">
      <alignment/>
      <protection/>
    </xf>
    <xf numFmtId="3" fontId="0" fillId="16" borderId="25" xfId="61" applyNumberFormat="1" applyFill="1" applyBorder="1">
      <alignment/>
      <protection/>
    </xf>
    <xf numFmtId="0" fontId="0" fillId="0" borderId="18" xfId="61" applyFont="1" applyBorder="1">
      <alignment/>
      <protection/>
    </xf>
    <xf numFmtId="3" fontId="0" fillId="16" borderId="19" xfId="61" applyNumberFormat="1" applyFill="1" applyBorder="1">
      <alignment/>
      <protection/>
    </xf>
    <xf numFmtId="3" fontId="0" fillId="16" borderId="26" xfId="61" applyNumberFormat="1" applyFill="1" applyBorder="1">
      <alignment/>
      <protection/>
    </xf>
    <xf numFmtId="0" fontId="0" fillId="0" borderId="18" xfId="0" applyBorder="1" applyAlignment="1">
      <alignment/>
    </xf>
    <xf numFmtId="0" fontId="0" fillId="0" borderId="18" xfId="61" applyFont="1" applyBorder="1" applyAlignment="1">
      <alignment wrapText="1"/>
      <protection/>
    </xf>
    <xf numFmtId="3" fontId="0" fillId="0" borderId="19" xfId="61" applyNumberFormat="1" applyBorder="1">
      <alignment/>
      <protection/>
    </xf>
    <xf numFmtId="3" fontId="0" fillId="0" borderId="26" xfId="61" applyNumberFormat="1" applyBorder="1">
      <alignment/>
      <protection/>
    </xf>
    <xf numFmtId="0" fontId="0" fillId="0" borderId="20" xfId="61" applyFont="1" applyBorder="1">
      <alignment/>
      <protection/>
    </xf>
    <xf numFmtId="3" fontId="0" fillId="0" borderId="21" xfId="61" applyNumberFormat="1" applyBorder="1">
      <alignment/>
      <protection/>
    </xf>
    <xf numFmtId="3" fontId="0" fillId="0" borderId="27" xfId="61" applyNumberFormat="1" applyBorder="1">
      <alignment/>
      <protection/>
    </xf>
    <xf numFmtId="0" fontId="23" fillId="6" borderId="11" xfId="61" applyFont="1" applyFill="1" applyBorder="1" applyAlignment="1">
      <alignment vertical="center"/>
      <protection/>
    </xf>
    <xf numFmtId="3" fontId="28" fillId="6" borderId="12" xfId="61" applyNumberFormat="1" applyFont="1" applyFill="1" applyBorder="1">
      <alignment/>
      <protection/>
    </xf>
    <xf numFmtId="3" fontId="28" fillId="6" borderId="24" xfId="61" applyNumberFormat="1" applyFont="1" applyFill="1" applyBorder="1">
      <alignment/>
      <protection/>
    </xf>
    <xf numFmtId="0" fontId="0" fillId="0" borderId="0" xfId="61" applyBorder="1">
      <alignment/>
      <protection/>
    </xf>
    <xf numFmtId="0" fontId="0" fillId="0" borderId="0" xfId="61" applyFill="1" applyBorder="1">
      <alignment/>
      <protection/>
    </xf>
    <xf numFmtId="0" fontId="0" fillId="0" borderId="11" xfId="61" applyFont="1" applyBorder="1" applyAlignment="1">
      <alignment horizontal="center"/>
      <protection/>
    </xf>
    <xf numFmtId="3" fontId="0" fillId="0" borderId="12" xfId="61" applyNumberFormat="1" applyFont="1" applyBorder="1" applyAlignment="1">
      <alignment horizontal="center"/>
      <protection/>
    </xf>
    <xf numFmtId="0" fontId="0" fillId="0" borderId="24" xfId="61" applyFont="1" applyBorder="1" applyAlignment="1">
      <alignment horizontal="center"/>
      <protection/>
    </xf>
    <xf numFmtId="3" fontId="25" fillId="0" borderId="19" xfId="64" applyNumberFormat="1" applyFont="1" applyBorder="1">
      <alignment/>
      <protection/>
    </xf>
    <xf numFmtId="3" fontId="25" fillId="0" borderId="21" xfId="64" applyNumberFormat="1" applyFont="1" applyBorder="1">
      <alignment/>
      <protection/>
    </xf>
    <xf numFmtId="3" fontId="26" fillId="0" borderId="12" xfId="64" applyNumberFormat="1" applyFont="1" applyBorder="1" applyAlignment="1">
      <alignment vertical="center"/>
      <protection/>
    </xf>
    <xf numFmtId="3" fontId="26" fillId="0" borderId="17" xfId="64" applyNumberFormat="1" applyFont="1" applyBorder="1">
      <alignment/>
      <protection/>
    </xf>
    <xf numFmtId="3" fontId="26" fillId="0" borderId="19" xfId="64" applyNumberFormat="1" applyFont="1" applyBorder="1">
      <alignment/>
      <protection/>
    </xf>
    <xf numFmtId="3" fontId="26" fillId="18" borderId="12" xfId="64" applyNumberFormat="1" applyFont="1" applyFill="1" applyBorder="1" applyAlignment="1">
      <alignment vertical="center"/>
      <protection/>
    </xf>
    <xf numFmtId="3" fontId="25" fillId="0" borderId="17" xfId="64" applyNumberFormat="1" applyFont="1" applyBorder="1">
      <alignment/>
      <protection/>
    </xf>
    <xf numFmtId="0" fontId="0" fillId="0" borderId="19" xfId="64" applyBorder="1">
      <alignment/>
      <protection/>
    </xf>
    <xf numFmtId="3" fontId="26" fillId="0" borderId="21" xfId="64" applyNumberFormat="1" applyFont="1" applyBorder="1">
      <alignment/>
      <protection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25" fillId="0" borderId="50" xfId="63" applyFont="1" applyBorder="1" applyAlignment="1">
      <alignment horizontal="center" vertical="center"/>
      <protection/>
    </xf>
    <xf numFmtId="0" fontId="28" fillId="6" borderId="11" xfId="63" applyFont="1" applyFill="1" applyBorder="1" applyAlignment="1">
      <alignment horizontal="center" vertical="center"/>
      <protection/>
    </xf>
    <xf numFmtId="0" fontId="27" fillId="6" borderId="12" xfId="63" applyFont="1" applyFill="1" applyBorder="1" applyAlignment="1">
      <alignment horizontal="center" vertical="center" wrapText="1"/>
      <protection/>
    </xf>
    <xf numFmtId="0" fontId="27" fillId="6" borderId="11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3" fontId="25" fillId="0" borderId="26" xfId="64" applyNumberFormat="1" applyFont="1" applyBorder="1">
      <alignment/>
      <protection/>
    </xf>
    <xf numFmtId="3" fontId="25" fillId="0" borderId="27" xfId="64" applyNumberFormat="1" applyFont="1" applyBorder="1">
      <alignment/>
      <protection/>
    </xf>
    <xf numFmtId="3" fontId="26" fillId="0" borderId="24" xfId="64" applyNumberFormat="1" applyFont="1" applyBorder="1" applyAlignment="1">
      <alignment vertical="center"/>
      <protection/>
    </xf>
    <xf numFmtId="3" fontId="26" fillId="0" borderId="25" xfId="64" applyNumberFormat="1" applyFont="1" applyBorder="1">
      <alignment/>
      <protection/>
    </xf>
    <xf numFmtId="3" fontId="26" fillId="0" borderId="26" xfId="64" applyNumberFormat="1" applyFont="1" applyBorder="1">
      <alignment/>
      <protection/>
    </xf>
    <xf numFmtId="3" fontId="26" fillId="18" borderId="24" xfId="64" applyNumberFormat="1" applyFont="1" applyFill="1" applyBorder="1" applyAlignment="1">
      <alignment vertical="center"/>
      <protection/>
    </xf>
    <xf numFmtId="3" fontId="25" fillId="0" borderId="25" xfId="64" applyNumberFormat="1" applyFont="1" applyBorder="1">
      <alignment/>
      <protection/>
    </xf>
    <xf numFmtId="0" fontId="0" fillId="0" borderId="26" xfId="64" applyBorder="1">
      <alignment/>
      <protection/>
    </xf>
    <xf numFmtId="3" fontId="26" fillId="0" borderId="27" xfId="64" applyNumberFormat="1" applyFont="1" applyBorder="1">
      <alignment/>
      <protection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6" xfId="63" applyFont="1" applyBorder="1" applyAlignment="1">
      <alignment horizontal="center"/>
      <protection/>
    </xf>
    <xf numFmtId="0" fontId="25" fillId="0" borderId="17" xfId="63" applyFont="1" applyBorder="1" applyAlignment="1">
      <alignment horizontal="center"/>
      <protection/>
    </xf>
    <xf numFmtId="0" fontId="25" fillId="0" borderId="25" xfId="63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28" fillId="0" borderId="11" xfId="61" applyFont="1" applyBorder="1" applyAlignment="1">
      <alignment horizontal="center" vertical="center" wrapText="1"/>
      <protection/>
    </xf>
    <xf numFmtId="3" fontId="28" fillId="0" borderId="12" xfId="61" applyNumberFormat="1" applyFont="1" applyBorder="1" applyAlignment="1">
      <alignment horizontal="center" vertical="center" wrapText="1"/>
      <protection/>
    </xf>
    <xf numFmtId="0" fontId="28" fillId="0" borderId="24" xfId="61" applyFont="1" applyBorder="1" applyAlignment="1">
      <alignment horizontal="center" vertical="center" wrapText="1"/>
      <protection/>
    </xf>
    <xf numFmtId="3" fontId="36" fillId="7" borderId="12" xfId="61" applyNumberFormat="1" applyFont="1" applyFill="1" applyBorder="1">
      <alignment/>
      <protection/>
    </xf>
    <xf numFmtId="3" fontId="36" fillId="7" borderId="24" xfId="61" applyNumberFormat="1" applyFont="1" applyFill="1" applyBorder="1">
      <alignment/>
      <protection/>
    </xf>
    <xf numFmtId="3" fontId="0" fillId="0" borderId="17" xfId="61" applyNumberFormat="1" applyBorder="1">
      <alignment/>
      <protection/>
    </xf>
    <xf numFmtId="3" fontId="0" fillId="0" borderId="25" xfId="61" applyNumberFormat="1" applyBorder="1">
      <alignment/>
      <protection/>
    </xf>
    <xf numFmtId="3" fontId="28" fillId="6" borderId="12" xfId="61" applyNumberFormat="1" applyFont="1" applyFill="1" applyBorder="1" applyAlignment="1">
      <alignment horizontal="right" vertical="center"/>
      <protection/>
    </xf>
    <xf numFmtId="3" fontId="28" fillId="6" borderId="24" xfId="61" applyNumberFormat="1" applyFont="1" applyFill="1" applyBorder="1" applyAlignment="1">
      <alignment horizontal="right" vertical="center"/>
      <protection/>
    </xf>
    <xf numFmtId="0" fontId="0" fillId="0" borderId="29" xfId="61" applyFont="1" applyBorder="1" applyAlignment="1">
      <alignment horizontal="center"/>
      <protection/>
    </xf>
    <xf numFmtId="0" fontId="28" fillId="0" borderId="29" xfId="61" applyFont="1" applyBorder="1" applyAlignment="1">
      <alignment horizontal="center" vertical="center" wrapText="1"/>
      <protection/>
    </xf>
    <xf numFmtId="0" fontId="0" fillId="0" borderId="41" xfId="61" applyBorder="1">
      <alignment/>
      <protection/>
    </xf>
    <xf numFmtId="0" fontId="0" fillId="0" borderId="38" xfId="61" applyBorder="1">
      <alignment/>
      <protection/>
    </xf>
    <xf numFmtId="0" fontId="0" fillId="0" borderId="38" xfId="61" applyFont="1" applyBorder="1">
      <alignment/>
      <protection/>
    </xf>
    <xf numFmtId="0" fontId="0" fillId="0" borderId="11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25" fillId="0" borderId="16" xfId="60" applyFont="1" applyBorder="1" applyAlignment="1">
      <alignment horizontal="center"/>
      <protection/>
    </xf>
    <xf numFmtId="0" fontId="25" fillId="0" borderId="17" xfId="60" applyFont="1" applyBorder="1">
      <alignment/>
      <protection/>
    </xf>
    <xf numFmtId="0" fontId="0" fillId="0" borderId="17" xfId="60" applyBorder="1">
      <alignment/>
      <protection/>
    </xf>
    <xf numFmtId="49" fontId="25" fillId="0" borderId="16" xfId="60" applyNumberFormat="1" applyFont="1" applyBorder="1" applyAlignment="1">
      <alignment horizontal="center"/>
      <protection/>
    </xf>
    <xf numFmtId="0" fontId="0" fillId="0" borderId="41" xfId="60" applyBorder="1">
      <alignment/>
      <protection/>
    </xf>
    <xf numFmtId="0" fontId="0" fillId="0" borderId="38" xfId="60" applyBorder="1">
      <alignment/>
      <protection/>
    </xf>
    <xf numFmtId="0" fontId="0" fillId="0" borderId="38" xfId="60" applyFont="1" applyBorder="1">
      <alignment/>
      <protection/>
    </xf>
    <xf numFmtId="0" fontId="0" fillId="0" borderId="38" xfId="60" applyFont="1" applyBorder="1" applyAlignment="1">
      <alignment horizontal="center"/>
      <protection/>
    </xf>
    <xf numFmtId="0" fontId="25" fillId="0" borderId="23" xfId="60" applyFont="1" applyBorder="1">
      <alignment/>
      <protection/>
    </xf>
    <xf numFmtId="0" fontId="35" fillId="0" borderId="11" xfId="60" applyFont="1" applyBorder="1">
      <alignment/>
      <protection/>
    </xf>
    <xf numFmtId="0" fontId="32" fillId="0" borderId="19" xfId="60" applyFont="1" applyBorder="1">
      <alignment/>
      <protection/>
    </xf>
    <xf numFmtId="0" fontId="37" fillId="0" borderId="19" xfId="60" applyFont="1" applyBorder="1">
      <alignment/>
      <protection/>
    </xf>
    <xf numFmtId="0" fontId="37" fillId="0" borderId="19" xfId="60" applyFont="1" applyFill="1" applyBorder="1">
      <alignment/>
      <protection/>
    </xf>
    <xf numFmtId="0" fontId="25" fillId="0" borderId="28" xfId="63" applyFont="1" applyBorder="1">
      <alignment/>
      <protection/>
    </xf>
    <xf numFmtId="0" fontId="25" fillId="0" borderId="30" xfId="63" applyFont="1" applyBorder="1" applyAlignment="1">
      <alignment horizontal="center" vertical="center" wrapText="1"/>
      <protection/>
    </xf>
    <xf numFmtId="0" fontId="25" fillId="0" borderId="38" xfId="63" applyFont="1" applyBorder="1">
      <alignment/>
      <protection/>
    </xf>
    <xf numFmtId="0" fontId="25" fillId="0" borderId="42" xfId="63" applyFont="1" applyBorder="1">
      <alignment/>
      <protection/>
    </xf>
    <xf numFmtId="0" fontId="25" fillId="0" borderId="41" xfId="63" applyFont="1" applyBorder="1">
      <alignment/>
      <protection/>
    </xf>
    <xf numFmtId="0" fontId="25" fillId="0" borderId="51" xfId="63" applyFont="1" applyBorder="1">
      <alignment/>
      <protection/>
    </xf>
    <xf numFmtId="0" fontId="25" fillId="0" borderId="44" xfId="63" applyFont="1" applyBorder="1">
      <alignment/>
      <protection/>
    </xf>
    <xf numFmtId="0" fontId="0" fillId="0" borderId="19" xfId="63" applyBorder="1">
      <alignment/>
      <protection/>
    </xf>
    <xf numFmtId="3" fontId="25" fillId="0" borderId="26" xfId="0" applyNumberFormat="1" applyFont="1" applyBorder="1" applyAlignment="1">
      <alignment/>
    </xf>
    <xf numFmtId="0" fontId="0" fillId="0" borderId="26" xfId="63" applyBorder="1">
      <alignment/>
      <protection/>
    </xf>
    <xf numFmtId="3" fontId="26" fillId="0" borderId="27" xfId="63" applyNumberFormat="1" applyFont="1" applyBorder="1">
      <alignment/>
      <protection/>
    </xf>
    <xf numFmtId="0" fontId="27" fillId="16" borderId="52" xfId="65" applyFont="1" applyFill="1" applyBorder="1" applyAlignment="1">
      <alignment vertical="center" wrapText="1"/>
      <protection/>
    </xf>
    <xf numFmtId="0" fontId="27" fillId="16" borderId="53" xfId="65" applyFont="1" applyFill="1" applyBorder="1" applyAlignment="1">
      <alignment vertical="center" wrapText="1"/>
      <protection/>
    </xf>
    <xf numFmtId="0" fontId="27" fillId="0" borderId="53" xfId="65" applyFont="1" applyFill="1" applyBorder="1" applyAlignment="1">
      <alignment vertical="center" wrapText="1"/>
      <protection/>
    </xf>
    <xf numFmtId="0" fontId="27" fillId="0" borderId="53" xfId="57" applyFont="1" applyBorder="1" applyAlignment="1">
      <alignment vertical="center" wrapText="1"/>
      <protection/>
    </xf>
    <xf numFmtId="0" fontId="27" fillId="0" borderId="54" xfId="57" applyFont="1" applyBorder="1" applyAlignment="1">
      <alignment vertical="center" wrapText="1"/>
      <protection/>
    </xf>
    <xf numFmtId="0" fontId="26" fillId="6" borderId="43" xfId="65" applyFont="1" applyFill="1" applyBorder="1" applyAlignment="1">
      <alignment vertical="center"/>
      <protection/>
    </xf>
    <xf numFmtId="3" fontId="23" fillId="6" borderId="55" xfId="57" applyNumberFormat="1" applyFont="1" applyFill="1" applyBorder="1">
      <alignment/>
      <protection/>
    </xf>
    <xf numFmtId="3" fontId="23" fillId="6" borderId="28" xfId="57" applyNumberFormat="1" applyFont="1" applyFill="1" applyBorder="1">
      <alignment/>
      <protection/>
    </xf>
    <xf numFmtId="3" fontId="23" fillId="6" borderId="56" xfId="57" applyNumberFormat="1" applyFont="1" applyFill="1" applyBorder="1">
      <alignment/>
      <protection/>
    </xf>
    <xf numFmtId="3" fontId="23" fillId="6" borderId="32" xfId="57" applyNumberFormat="1" applyFont="1" applyFill="1" applyBorder="1">
      <alignment/>
      <protection/>
    </xf>
    <xf numFmtId="3" fontId="23" fillId="6" borderId="57" xfId="57" applyNumberFormat="1" applyFont="1" applyFill="1" applyBorder="1">
      <alignment/>
      <protection/>
    </xf>
    <xf numFmtId="3" fontId="23" fillId="6" borderId="0" xfId="57" applyNumberFormat="1" applyFont="1" applyFill="1" applyBorder="1">
      <alignment/>
      <protection/>
    </xf>
    <xf numFmtId="3" fontId="23" fillId="6" borderId="58" xfId="65" applyNumberFormat="1" applyFont="1" applyFill="1" applyBorder="1">
      <alignment/>
      <protection/>
    </xf>
    <xf numFmtId="3" fontId="34" fillId="0" borderId="26" xfId="57" applyNumberFormat="1" applyFont="1" applyBorder="1">
      <alignment/>
      <protection/>
    </xf>
    <xf numFmtId="3" fontId="34" fillId="0" borderId="20" xfId="65" applyNumberFormat="1" applyFont="1" applyBorder="1">
      <alignment/>
      <protection/>
    </xf>
    <xf numFmtId="3" fontId="34" fillId="0" borderId="21" xfId="65" applyNumberFormat="1" applyFont="1" applyBorder="1">
      <alignment/>
      <protection/>
    </xf>
    <xf numFmtId="3" fontId="34" fillId="0" borderId="59" xfId="65" applyNumberFormat="1" applyFont="1" applyBorder="1">
      <alignment/>
      <protection/>
    </xf>
    <xf numFmtId="3" fontId="34" fillId="0" borderId="60" xfId="65" applyNumberFormat="1" applyFont="1" applyBorder="1">
      <alignment/>
      <protection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/>
    </xf>
    <xf numFmtId="0" fontId="0" fillId="0" borderId="16" xfId="0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61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0" fontId="0" fillId="0" borderId="42" xfId="0" applyBorder="1" applyAlignment="1">
      <alignment/>
    </xf>
    <xf numFmtId="3" fontId="28" fillId="0" borderId="12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3" fontId="0" fillId="0" borderId="38" xfId="0" applyNumberForma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0" xfId="0" applyBorder="1" applyAlignment="1">
      <alignment/>
    </xf>
    <xf numFmtId="3" fontId="0" fillId="0" borderId="51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67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0" fontId="28" fillId="0" borderId="23" xfId="0" applyFont="1" applyBorder="1" applyAlignment="1">
      <alignment/>
    </xf>
    <xf numFmtId="3" fontId="28" fillId="0" borderId="47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0" fontId="0" fillId="0" borderId="42" xfId="61" applyFont="1" applyBorder="1">
      <alignment/>
      <protection/>
    </xf>
    <xf numFmtId="0" fontId="36" fillId="7" borderId="37" xfId="61" applyFont="1" applyFill="1" applyBorder="1" applyAlignment="1">
      <alignment horizontal="left" vertical="center" wrapText="1"/>
      <protection/>
    </xf>
    <xf numFmtId="3" fontId="36" fillId="7" borderId="14" xfId="61" applyNumberFormat="1" applyFont="1" applyFill="1" applyBorder="1" applyAlignment="1">
      <alignment horizontal="right" vertical="center"/>
      <protection/>
    </xf>
    <xf numFmtId="3" fontId="36" fillId="7" borderId="63" xfId="61" applyNumberFormat="1" applyFont="1" applyFill="1" applyBorder="1" applyAlignment="1">
      <alignment horizontal="right" vertical="center"/>
      <protection/>
    </xf>
    <xf numFmtId="0" fontId="0" fillId="0" borderId="16" xfId="61" applyFont="1" applyBorder="1">
      <alignment/>
      <protection/>
    </xf>
    <xf numFmtId="3" fontId="0" fillId="16" borderId="17" xfId="61" applyNumberFormat="1" applyFont="1" applyFill="1" applyBorder="1" applyAlignment="1">
      <alignment horizontal="right" vertical="center"/>
      <protection/>
    </xf>
    <xf numFmtId="3" fontId="0" fillId="16" borderId="25" xfId="61" applyNumberFormat="1" applyFont="1" applyFill="1" applyBorder="1" applyAlignment="1">
      <alignment horizontal="right" vertical="center"/>
      <protection/>
    </xf>
    <xf numFmtId="0" fontId="0" fillId="0" borderId="20" xfId="61" applyFont="1" applyBorder="1" applyAlignment="1">
      <alignment wrapText="1"/>
      <protection/>
    </xf>
    <xf numFmtId="0" fontId="36" fillId="7" borderId="11" xfId="61" applyFont="1" applyFill="1" applyBorder="1">
      <alignment/>
      <protection/>
    </xf>
    <xf numFmtId="0" fontId="23" fillId="6" borderId="11" xfId="61" applyFont="1" applyFill="1" applyBorder="1" applyAlignment="1">
      <alignment horizontal="left" vertical="center"/>
      <protection/>
    </xf>
    <xf numFmtId="0" fontId="0" fillId="0" borderId="41" xfId="61" applyFont="1" applyBorder="1">
      <alignment/>
      <protection/>
    </xf>
    <xf numFmtId="0" fontId="38" fillId="0" borderId="0" xfId="62" applyFont="1" applyFill="1" applyBorder="1" applyAlignment="1">
      <alignment horizontal="left" vertical="center" wrapText="1"/>
      <protection/>
    </xf>
    <xf numFmtId="0" fontId="39" fillId="0" borderId="0" xfId="62" applyFont="1" applyFill="1">
      <alignment/>
      <protection/>
    </xf>
    <xf numFmtId="0" fontId="40" fillId="0" borderId="0" xfId="62" applyFont="1" applyFill="1">
      <alignment/>
      <protection/>
    </xf>
    <xf numFmtId="0" fontId="26" fillId="0" borderId="0" xfId="61" applyFont="1" applyAlignment="1">
      <alignment horizontal="center" vertical="center" wrapText="1"/>
      <protection/>
    </xf>
    <xf numFmtId="0" fontId="26" fillId="0" borderId="0" xfId="61" applyFont="1" applyAlignment="1">
      <alignment vertical="center" wrapText="1"/>
      <protection/>
    </xf>
    <xf numFmtId="0" fontId="28" fillId="0" borderId="0" xfId="61" applyFont="1" applyAlignment="1">
      <alignment horizontal="center" vertical="center" wrapText="1"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32" fillId="0" borderId="0" xfId="61" applyFont="1" applyBorder="1" applyAlignment="1">
      <alignment horizontal="left"/>
      <protection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10" xfId="61" applyFont="1" applyBorder="1">
      <alignment/>
      <protection/>
    </xf>
    <xf numFmtId="0" fontId="25" fillId="0" borderId="11" xfId="61" applyFont="1" applyBorder="1" applyAlignment="1">
      <alignment horizontal="center"/>
      <protection/>
    </xf>
    <xf numFmtId="0" fontId="25" fillId="0" borderId="12" xfId="61" applyFont="1" applyBorder="1" applyAlignment="1">
      <alignment horizontal="center"/>
      <protection/>
    </xf>
    <xf numFmtId="0" fontId="25" fillId="0" borderId="24" xfId="61" applyFont="1" applyBorder="1" applyAlignment="1">
      <alignment horizontal="center"/>
      <protection/>
    </xf>
    <xf numFmtId="0" fontId="25" fillId="0" borderId="69" xfId="61" applyFont="1" applyBorder="1">
      <alignment/>
      <protection/>
    </xf>
    <xf numFmtId="0" fontId="25" fillId="0" borderId="19" xfId="61" applyFont="1" applyBorder="1" applyAlignment="1">
      <alignment horizontal="left"/>
      <protection/>
    </xf>
    <xf numFmtId="3" fontId="25" fillId="0" borderId="26" xfId="61" applyNumberFormat="1" applyFont="1" applyBorder="1">
      <alignment/>
      <protection/>
    </xf>
    <xf numFmtId="0" fontId="25" fillId="0" borderId="19" xfId="61" applyFont="1" applyBorder="1" applyAlignment="1">
      <alignment horizontal="left" vertical="center" wrapText="1"/>
      <protection/>
    </xf>
    <xf numFmtId="0" fontId="25" fillId="0" borderId="21" xfId="61" applyFont="1" applyBorder="1" applyAlignment="1">
      <alignment horizontal="left" vertical="center" wrapText="1"/>
      <protection/>
    </xf>
    <xf numFmtId="3" fontId="25" fillId="0" borderId="27" xfId="61" applyNumberFormat="1" applyFont="1" applyBorder="1">
      <alignment/>
      <protection/>
    </xf>
    <xf numFmtId="3" fontId="26" fillId="6" borderId="34" xfId="61" applyNumberFormat="1" applyFont="1" applyFill="1" applyBorder="1">
      <alignment/>
      <protection/>
    </xf>
    <xf numFmtId="3" fontId="28" fillId="0" borderId="14" xfId="61" applyNumberFormat="1" applyFont="1" applyBorder="1" applyAlignment="1">
      <alignment horizontal="center" vertical="center" wrapText="1"/>
      <protection/>
    </xf>
    <xf numFmtId="0" fontId="28" fillId="0" borderId="63" xfId="61" applyFont="1" applyBorder="1" applyAlignment="1">
      <alignment horizontal="center" vertical="center" wrapText="1"/>
      <protection/>
    </xf>
    <xf numFmtId="0" fontId="25" fillId="0" borderId="48" xfId="61" applyFont="1" applyBorder="1">
      <alignment/>
      <protection/>
    </xf>
    <xf numFmtId="0" fontId="25" fillId="0" borderId="16" xfId="61" applyFont="1" applyBorder="1" applyAlignment="1">
      <alignment horizontal="left"/>
      <protection/>
    </xf>
    <xf numFmtId="0" fontId="25" fillId="0" borderId="17" xfId="61" applyFont="1" applyBorder="1" applyAlignment="1">
      <alignment horizontal="left"/>
      <protection/>
    </xf>
    <xf numFmtId="3" fontId="25" fillId="0" borderId="17" xfId="61" applyNumberFormat="1" applyFont="1" applyBorder="1">
      <alignment/>
      <protection/>
    </xf>
    <xf numFmtId="3" fontId="25" fillId="0" borderId="25" xfId="61" applyNumberFormat="1" applyFont="1" applyBorder="1">
      <alignment/>
      <protection/>
    </xf>
    <xf numFmtId="0" fontId="25" fillId="0" borderId="15" xfId="61" applyFont="1" applyBorder="1">
      <alignment/>
      <protection/>
    </xf>
    <xf numFmtId="0" fontId="25" fillId="0" borderId="18" xfId="61" applyFont="1" applyBorder="1" applyAlignment="1">
      <alignment horizontal="left"/>
      <protection/>
    </xf>
    <xf numFmtId="3" fontId="25" fillId="0" borderId="19" xfId="61" applyNumberFormat="1" applyFont="1" applyBorder="1">
      <alignment/>
      <protection/>
    </xf>
    <xf numFmtId="3" fontId="25" fillId="0" borderId="21" xfId="61" applyNumberFormat="1" applyFont="1" applyBorder="1">
      <alignment/>
      <protection/>
    </xf>
    <xf numFmtId="0" fontId="26" fillId="16" borderId="13" xfId="61" applyFont="1" applyFill="1" applyBorder="1" applyAlignment="1">
      <alignment horizontal="center"/>
      <protection/>
    </xf>
    <xf numFmtId="0" fontId="26" fillId="16" borderId="14" xfId="61" applyFont="1" applyFill="1" applyBorder="1" applyAlignment="1">
      <alignment horizontal="center"/>
      <protection/>
    </xf>
    <xf numFmtId="0" fontId="26" fillId="6" borderId="70" xfId="61" applyFont="1" applyFill="1" applyBorder="1">
      <alignment/>
      <protection/>
    </xf>
    <xf numFmtId="0" fontId="26" fillId="6" borderId="33" xfId="61" applyFont="1" applyFill="1" applyBorder="1">
      <alignment/>
      <protection/>
    </xf>
    <xf numFmtId="3" fontId="26" fillId="6" borderId="33" xfId="61" applyNumberFormat="1" applyFont="1" applyFill="1" applyBorder="1">
      <alignment/>
      <protection/>
    </xf>
    <xf numFmtId="0" fontId="28" fillId="0" borderId="14" xfId="61" applyFont="1" applyBorder="1" applyAlignment="1">
      <alignment horizontal="center" vertical="center" wrapText="1"/>
      <protection/>
    </xf>
    <xf numFmtId="0" fontId="25" fillId="0" borderId="20" xfId="61" applyFont="1" applyBorder="1" applyAlignment="1">
      <alignment horizontal="left" wrapText="1"/>
      <protection/>
    </xf>
    <xf numFmtId="0" fontId="23" fillId="0" borderId="0" xfId="63" applyFont="1" applyAlignment="1">
      <alignment horizontal="center"/>
      <protection/>
    </xf>
    <xf numFmtId="0" fontId="32" fillId="0" borderId="0" xfId="59" applyFont="1" applyBorder="1" applyAlignment="1">
      <alignment horizontal="right" wrapText="1"/>
      <protection/>
    </xf>
    <xf numFmtId="0" fontId="0" fillId="0" borderId="0" xfId="65" applyFont="1" applyBorder="1" applyAlignment="1">
      <alignment horizontal="right"/>
      <protection/>
    </xf>
    <xf numFmtId="0" fontId="22" fillId="0" borderId="0" xfId="58" applyFont="1" applyBorder="1" applyAlignment="1">
      <alignment horizontal="right"/>
      <protection/>
    </xf>
    <xf numFmtId="0" fontId="31" fillId="0" borderId="0" xfId="59" applyFont="1" applyAlignment="1">
      <alignment horizontal="center" wrapText="1"/>
      <protection/>
    </xf>
    <xf numFmtId="0" fontId="33" fillId="0" borderId="0" xfId="60" applyFont="1" applyBorder="1" applyAlignment="1">
      <alignment horizontal="center" wrapText="1"/>
      <protection/>
    </xf>
    <xf numFmtId="0" fontId="28" fillId="0" borderId="0" xfId="60" applyFont="1" applyAlignment="1">
      <alignment horizontal="center" vertical="center" wrapText="1"/>
      <protection/>
    </xf>
    <xf numFmtId="0" fontId="37" fillId="0" borderId="0" xfId="0" applyFont="1" applyBorder="1" applyAlignment="1">
      <alignment horizontal="right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0" xfId="61" applyFont="1" applyAlignment="1">
      <alignment horizontal="center" vertical="center" wrapText="1"/>
      <protection/>
    </xf>
    <xf numFmtId="0" fontId="38" fillId="0" borderId="0" xfId="62" applyFont="1" applyFill="1" applyBorder="1" applyAlignment="1">
      <alignment horizontal="left" vertical="center" wrapText="1"/>
      <protection/>
    </xf>
    <xf numFmtId="0" fontId="32" fillId="0" borderId="0" xfId="6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3" fontId="30" fillId="0" borderId="24" xfId="63" applyNumberFormat="1" applyFont="1" applyBorder="1" applyAlignment="1">
      <alignment/>
      <protection/>
    </xf>
    <xf numFmtId="3" fontId="30" fillId="0" borderId="27" xfId="63" applyNumberFormat="1" applyFont="1" applyBorder="1">
      <alignment/>
      <protection/>
    </xf>
    <xf numFmtId="3" fontId="26" fillId="6" borderId="24" xfId="63" applyNumberFormat="1" applyFont="1" applyFill="1" applyBorder="1">
      <alignment/>
      <protection/>
    </xf>
    <xf numFmtId="3" fontId="24" fillId="0" borderId="24" xfId="63" applyNumberFormat="1" applyFont="1" applyBorder="1" applyAlignment="1">
      <alignment horizontal="center"/>
      <protection/>
    </xf>
    <xf numFmtId="3" fontId="27" fillId="6" borderId="63" xfId="63" applyNumberFormat="1" applyFont="1" applyFill="1" applyBorder="1" applyAlignment="1">
      <alignment horizontal="center" vertical="center" wrapText="1"/>
      <protection/>
    </xf>
    <xf numFmtId="3" fontId="30" fillId="0" borderId="24" xfId="63" applyNumberFormat="1" applyFont="1" applyBorder="1">
      <alignment/>
      <protection/>
    </xf>
    <xf numFmtId="0" fontId="26" fillId="0" borderId="27" xfId="63" applyFont="1" applyBorder="1">
      <alignment/>
      <protection/>
    </xf>
    <xf numFmtId="3" fontId="30" fillId="0" borderId="24" xfId="63" applyNumberFormat="1" applyFont="1" applyFill="1" applyBorder="1">
      <alignment/>
      <protection/>
    </xf>
    <xf numFmtId="3" fontId="25" fillId="0" borderId="24" xfId="63" applyNumberFormat="1" applyFont="1" applyBorder="1">
      <alignment/>
      <protection/>
    </xf>
    <xf numFmtId="3" fontId="26" fillId="0" borderId="24" xfId="63" applyNumberFormat="1" applyFont="1" applyBorder="1">
      <alignment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07.I. módosítás" xfId="57"/>
    <cellStyle name="Normál_2010.I. módosítás" xfId="58"/>
    <cellStyle name="Normál_címrend1" xfId="59"/>
    <cellStyle name="Normál_címrend2" xfId="60"/>
    <cellStyle name="Normál_Köttsv.2004" xfId="61"/>
    <cellStyle name="Normál_KVRENMUNKA" xfId="62"/>
    <cellStyle name="Normál_mérleg" xfId="63"/>
    <cellStyle name="Normál_mérleg_2011.I.félévi beszámoló táblázatai" xfId="64"/>
    <cellStyle name="Normál_Vált.2003-04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pane xSplit="2" ySplit="4" topLeftCell="C101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J117" sqref="J117"/>
    </sheetView>
  </sheetViews>
  <sheetFormatPr defaultColWidth="9.00390625" defaultRowHeight="12.75"/>
  <cols>
    <col min="1" max="1" width="3.875" style="2" customWidth="1"/>
    <col min="2" max="2" width="47.125" style="2" customWidth="1"/>
    <col min="3" max="3" width="10.00390625" style="2" customWidth="1"/>
    <col min="4" max="4" width="9.75390625" style="2" customWidth="1"/>
    <col min="5" max="5" width="9.625" style="1" customWidth="1"/>
    <col min="6" max="6" width="10.875" style="1" customWidth="1"/>
    <col min="7" max="8" width="10.75390625" style="2" customWidth="1"/>
    <col min="9" max="16384" width="9.125" style="2" customWidth="1"/>
  </cols>
  <sheetData>
    <row r="1" spans="1:5" ht="15">
      <c r="A1" s="378" t="s">
        <v>0</v>
      </c>
      <c r="B1" s="378"/>
      <c r="C1" s="378"/>
      <c r="D1" s="378"/>
      <c r="E1" s="378"/>
    </row>
    <row r="2" ht="12.75" customHeight="1" thickBot="1">
      <c r="E2" s="3"/>
    </row>
    <row r="3" spans="1:5" ht="12" customHeight="1" thickBot="1">
      <c r="A3" s="257"/>
      <c r="B3" s="5" t="s">
        <v>1</v>
      </c>
      <c r="C3" s="6" t="s">
        <v>2</v>
      </c>
      <c r="D3" s="6" t="s">
        <v>3</v>
      </c>
      <c r="E3" s="7" t="s">
        <v>4</v>
      </c>
    </row>
    <row r="4" spans="1:6" s="12" customFormat="1" ht="23.25" thickBot="1">
      <c r="A4" s="258"/>
      <c r="B4" s="8" t="s">
        <v>7</v>
      </c>
      <c r="C4" s="9" t="s">
        <v>8</v>
      </c>
      <c r="D4" s="9" t="s">
        <v>473</v>
      </c>
      <c r="E4" s="10" t="s">
        <v>205</v>
      </c>
      <c r="F4" s="11"/>
    </row>
    <row r="5" spans="1:5" ht="12" customHeight="1">
      <c r="A5" s="13" t="s">
        <v>9</v>
      </c>
      <c r="B5" s="14" t="s">
        <v>10</v>
      </c>
      <c r="C5" s="15">
        <f>C6+C7+C8</f>
        <v>1232158</v>
      </c>
      <c r="D5" s="15">
        <f>D6+D7+D8</f>
        <v>1232742</v>
      </c>
      <c r="E5" s="70">
        <f>E6+E7+E8</f>
        <v>1212135</v>
      </c>
    </row>
    <row r="6" spans="1:5" ht="12" customHeight="1">
      <c r="A6" s="13" t="s">
        <v>11</v>
      </c>
      <c r="B6" s="16" t="s">
        <v>12</v>
      </c>
      <c r="C6" s="17">
        <v>207124</v>
      </c>
      <c r="D6" s="17">
        <v>207708</v>
      </c>
      <c r="E6" s="72">
        <f>207708-20607</f>
        <v>187101</v>
      </c>
    </row>
    <row r="7" spans="1:5" ht="12" customHeight="1">
      <c r="A7" s="13" t="s">
        <v>13</v>
      </c>
      <c r="B7" s="16" t="s">
        <v>14</v>
      </c>
      <c r="C7" s="17">
        <v>2864</v>
      </c>
      <c r="D7" s="17">
        <v>2864</v>
      </c>
      <c r="E7" s="72">
        <v>2864</v>
      </c>
    </row>
    <row r="8" spans="1:5" ht="12" customHeight="1">
      <c r="A8" s="13" t="s">
        <v>15</v>
      </c>
      <c r="B8" s="16" t="s">
        <v>16</v>
      </c>
      <c r="C8" s="17">
        <f>SUM(C9:C16)</f>
        <v>1022170</v>
      </c>
      <c r="D8" s="17">
        <f>SUM(D9:D16)</f>
        <v>1022170</v>
      </c>
      <c r="E8" s="72">
        <f>SUM(E9:E16)</f>
        <v>1022170</v>
      </c>
    </row>
    <row r="9" spans="1:5" ht="12" customHeight="1">
      <c r="A9" s="13" t="s">
        <v>17</v>
      </c>
      <c r="B9" s="18" t="s">
        <v>18</v>
      </c>
      <c r="C9" s="19">
        <v>900000</v>
      </c>
      <c r="D9" s="19">
        <v>900000</v>
      </c>
      <c r="E9" s="62">
        <v>900000</v>
      </c>
    </row>
    <row r="10" spans="1:5" ht="12" customHeight="1">
      <c r="A10" s="13" t="s">
        <v>19</v>
      </c>
      <c r="B10" s="18" t="s">
        <v>20</v>
      </c>
      <c r="C10" s="19">
        <v>49500</v>
      </c>
      <c r="D10" s="19">
        <v>49500</v>
      </c>
      <c r="E10" s="62">
        <v>49500</v>
      </c>
    </row>
    <row r="11" spans="1:5" ht="12" customHeight="1">
      <c r="A11" s="13" t="s">
        <v>21</v>
      </c>
      <c r="B11" s="18" t="s">
        <v>22</v>
      </c>
      <c r="C11" s="19">
        <v>2000</v>
      </c>
      <c r="D11" s="19">
        <v>2000</v>
      </c>
      <c r="E11" s="62">
        <v>2000</v>
      </c>
    </row>
    <row r="12" spans="1:5" ht="12" customHeight="1">
      <c r="A12" s="13" t="s">
        <v>23</v>
      </c>
      <c r="B12" s="18" t="s">
        <v>24</v>
      </c>
      <c r="C12" s="19">
        <v>46400</v>
      </c>
      <c r="D12" s="19">
        <v>46400</v>
      </c>
      <c r="E12" s="62">
        <v>46400</v>
      </c>
    </row>
    <row r="13" spans="1:5" ht="12" customHeight="1">
      <c r="A13" s="13" t="s">
        <v>25</v>
      </c>
      <c r="B13" s="18" t="s">
        <v>26</v>
      </c>
      <c r="C13" s="19"/>
      <c r="D13" s="19"/>
      <c r="E13" s="62"/>
    </row>
    <row r="14" spans="1:5" ht="12" customHeight="1">
      <c r="A14" s="13" t="s">
        <v>27</v>
      </c>
      <c r="B14" s="18" t="s">
        <v>28</v>
      </c>
      <c r="C14" s="19">
        <v>9790</v>
      </c>
      <c r="D14" s="19">
        <v>9790</v>
      </c>
      <c r="E14" s="62">
        <v>9790</v>
      </c>
    </row>
    <row r="15" spans="1:5" ht="12" customHeight="1">
      <c r="A15" s="13" t="s">
        <v>29</v>
      </c>
      <c r="B15" s="18" t="s">
        <v>30</v>
      </c>
      <c r="C15" s="19">
        <v>14480</v>
      </c>
      <c r="D15" s="19">
        <v>14480</v>
      </c>
      <c r="E15" s="62">
        <v>14480</v>
      </c>
    </row>
    <row r="16" spans="1:5" ht="9" customHeight="1">
      <c r="A16" s="20" t="s">
        <v>31</v>
      </c>
      <c r="B16" s="18"/>
      <c r="C16" s="19"/>
      <c r="D16" s="19"/>
      <c r="E16" s="62"/>
    </row>
    <row r="17" spans="1:5" ht="12" customHeight="1">
      <c r="A17" s="13" t="s">
        <v>32</v>
      </c>
      <c r="B17" s="16" t="s">
        <v>33</v>
      </c>
      <c r="C17" s="17">
        <f>SUM(C18:C27)</f>
        <v>774719</v>
      </c>
      <c r="D17" s="17">
        <f>SUM(D18:D27)</f>
        <v>924045</v>
      </c>
      <c r="E17" s="72">
        <f>SUM(E18:E27)</f>
        <v>922331</v>
      </c>
    </row>
    <row r="18" spans="1:5" ht="12" customHeight="1">
      <c r="A18" s="13" t="s">
        <v>34</v>
      </c>
      <c r="B18" s="18" t="s">
        <v>35</v>
      </c>
      <c r="C18" s="19">
        <v>771387</v>
      </c>
      <c r="D18" s="19">
        <v>775928</v>
      </c>
      <c r="E18" s="62">
        <f>775928-2379</f>
        <v>773549</v>
      </c>
    </row>
    <row r="19" spans="1:5" ht="12" customHeight="1">
      <c r="A19" s="13" t="s">
        <v>36</v>
      </c>
      <c r="B19" s="18" t="s">
        <v>37</v>
      </c>
      <c r="C19" s="19"/>
      <c r="D19" s="19"/>
      <c r="E19" s="62"/>
    </row>
    <row r="20" spans="1:5" ht="12" customHeight="1">
      <c r="A20" s="13" t="s">
        <v>38</v>
      </c>
      <c r="B20" s="18" t="s">
        <v>39</v>
      </c>
      <c r="C20" s="19"/>
      <c r="D20" s="19"/>
      <c r="E20" s="62"/>
    </row>
    <row r="21" spans="1:5" ht="12" customHeight="1">
      <c r="A21" s="13" t="s">
        <v>40</v>
      </c>
      <c r="B21" s="18" t="s">
        <v>41</v>
      </c>
      <c r="C21" s="19"/>
      <c r="D21" s="19">
        <v>123877</v>
      </c>
      <c r="E21" s="62">
        <v>123877</v>
      </c>
    </row>
    <row r="22" spans="1:5" ht="12" customHeight="1">
      <c r="A22" s="13" t="s">
        <v>42</v>
      </c>
      <c r="B22" s="18" t="s">
        <v>43</v>
      </c>
      <c r="C22" s="19"/>
      <c r="D22" s="21">
        <f>3332+5808+14647</f>
        <v>23787</v>
      </c>
      <c r="E22" s="265">
        <f>3332+5808+14647+465</f>
        <v>24252</v>
      </c>
    </row>
    <row r="23" spans="1:5" ht="12" customHeight="1">
      <c r="A23" s="13" t="s">
        <v>44</v>
      </c>
      <c r="B23" s="18" t="s">
        <v>415</v>
      </c>
      <c r="C23" s="19"/>
      <c r="D23" s="21"/>
      <c r="E23" s="265">
        <v>200</v>
      </c>
    </row>
    <row r="24" spans="1:5" ht="12" customHeight="1">
      <c r="A24" s="13" t="s">
        <v>46</v>
      </c>
      <c r="B24" s="18" t="s">
        <v>45</v>
      </c>
      <c r="C24" s="21">
        <v>3332</v>
      </c>
      <c r="D24" s="264"/>
      <c r="E24" s="266"/>
    </row>
    <row r="25" spans="1:5" ht="12" customHeight="1">
      <c r="A25" s="13" t="s">
        <v>48</v>
      </c>
      <c r="B25" s="18" t="s">
        <v>47</v>
      </c>
      <c r="C25" s="19"/>
      <c r="D25" s="19"/>
      <c r="E25" s="62"/>
    </row>
    <row r="26" spans="1:5" ht="12" customHeight="1">
      <c r="A26" s="13" t="s">
        <v>50</v>
      </c>
      <c r="B26" s="18" t="s">
        <v>49</v>
      </c>
      <c r="C26" s="19"/>
      <c r="D26" s="19">
        <v>453</v>
      </c>
      <c r="E26" s="62">
        <v>453</v>
      </c>
    </row>
    <row r="27" spans="1:5" ht="12" customHeight="1">
      <c r="A27" s="13" t="s">
        <v>52</v>
      </c>
      <c r="B27" s="18" t="s">
        <v>51</v>
      </c>
      <c r="C27" s="19"/>
      <c r="D27" s="19"/>
      <c r="E27" s="62"/>
    </row>
    <row r="28" spans="1:5" ht="12" customHeight="1">
      <c r="A28" s="13" t="s">
        <v>54</v>
      </c>
      <c r="B28" s="16" t="s">
        <v>53</v>
      </c>
      <c r="C28" s="17">
        <f>SUM(C29:C32)</f>
        <v>95860</v>
      </c>
      <c r="D28" s="17">
        <f>SUM(D29:D32)</f>
        <v>95860</v>
      </c>
      <c r="E28" s="72">
        <f>SUM(E29:E32)</f>
        <v>95860</v>
      </c>
    </row>
    <row r="29" spans="1:5" ht="12" customHeight="1">
      <c r="A29" s="13" t="s">
        <v>56</v>
      </c>
      <c r="B29" s="18" t="s">
        <v>55</v>
      </c>
      <c r="C29" s="19">
        <v>19000</v>
      </c>
      <c r="D29" s="19">
        <v>19000</v>
      </c>
      <c r="E29" s="62">
        <v>19000</v>
      </c>
    </row>
    <row r="30" spans="1:5" ht="12" customHeight="1">
      <c r="A30" s="13" t="s">
        <v>58</v>
      </c>
      <c r="B30" s="18" t="s">
        <v>57</v>
      </c>
      <c r="C30" s="19">
        <v>6860</v>
      </c>
      <c r="D30" s="19">
        <v>6860</v>
      </c>
      <c r="E30" s="62">
        <v>6860</v>
      </c>
    </row>
    <row r="31" spans="1:5" ht="12" customHeight="1">
      <c r="A31" s="13" t="s">
        <v>60</v>
      </c>
      <c r="B31" s="18" t="s">
        <v>59</v>
      </c>
      <c r="C31" s="19"/>
      <c r="D31" s="19"/>
      <c r="E31" s="62"/>
    </row>
    <row r="32" spans="1:5" ht="12" customHeight="1">
      <c r="A32" s="13" t="s">
        <v>62</v>
      </c>
      <c r="B32" s="18" t="s">
        <v>61</v>
      </c>
      <c r="C32" s="19">
        <v>70000</v>
      </c>
      <c r="D32" s="19">
        <v>70000</v>
      </c>
      <c r="E32" s="62">
        <v>70000</v>
      </c>
    </row>
    <row r="33" spans="1:6" s="23" customFormat="1" ht="12" customHeight="1">
      <c r="A33" s="13" t="s">
        <v>64</v>
      </c>
      <c r="B33" s="16" t="s">
        <v>63</v>
      </c>
      <c r="C33" s="17">
        <f>C34+C36</f>
        <v>968784</v>
      </c>
      <c r="D33" s="17">
        <f>D34+D36</f>
        <v>780257</v>
      </c>
      <c r="E33" s="72">
        <f>E34+E36</f>
        <v>712818</v>
      </c>
      <c r="F33" s="22"/>
    </row>
    <row r="34" spans="1:5" ht="12" customHeight="1">
      <c r="A34" s="13" t="s">
        <v>66</v>
      </c>
      <c r="B34" s="18" t="s">
        <v>65</v>
      </c>
      <c r="C34" s="19">
        <v>965284</v>
      </c>
      <c r="D34" s="19">
        <v>764384</v>
      </c>
      <c r="E34" s="62">
        <f>764384-67946</f>
        <v>696438</v>
      </c>
    </row>
    <row r="35" spans="1:5" ht="12" customHeight="1">
      <c r="A35" s="13" t="s">
        <v>67</v>
      </c>
      <c r="B35" s="16" t="s">
        <v>203</v>
      </c>
      <c r="C35" s="19">
        <v>124500</v>
      </c>
      <c r="D35" s="19">
        <v>124500</v>
      </c>
      <c r="E35" s="62">
        <v>124500</v>
      </c>
    </row>
    <row r="36" spans="1:5" ht="12" customHeight="1">
      <c r="A36" s="13" t="s">
        <v>68</v>
      </c>
      <c r="B36" s="16" t="s">
        <v>204</v>
      </c>
      <c r="C36" s="19">
        <v>3500</v>
      </c>
      <c r="D36" s="19">
        <v>15873</v>
      </c>
      <c r="E36" s="62">
        <f>15873+507</f>
        <v>16380</v>
      </c>
    </row>
    <row r="37" spans="1:5" ht="12" customHeight="1">
      <c r="A37" s="13" t="s">
        <v>69</v>
      </c>
      <c r="B37" s="16" t="s">
        <v>203</v>
      </c>
      <c r="C37" s="19"/>
      <c r="D37" s="19"/>
      <c r="E37" s="62"/>
    </row>
    <row r="38" spans="1:5" ht="12" customHeight="1">
      <c r="A38" s="13" t="s">
        <v>71</v>
      </c>
      <c r="B38" s="16" t="s">
        <v>70</v>
      </c>
      <c r="C38" s="17">
        <f>C39+C40</f>
        <v>1612936</v>
      </c>
      <c r="D38" s="17">
        <f>D39+D40</f>
        <v>1621436</v>
      </c>
      <c r="E38" s="72">
        <f>E39+E40</f>
        <v>2031694</v>
      </c>
    </row>
    <row r="39" spans="1:5" ht="12" customHeight="1">
      <c r="A39" s="13" t="s">
        <v>73</v>
      </c>
      <c r="B39" s="18" t="s">
        <v>72</v>
      </c>
      <c r="C39" s="19"/>
      <c r="D39" s="19">
        <v>8500</v>
      </c>
      <c r="E39" s="62">
        <f>8500+370</f>
        <v>8870</v>
      </c>
    </row>
    <row r="40" spans="1:5" ht="12" customHeight="1">
      <c r="A40" s="13" t="s">
        <v>75</v>
      </c>
      <c r="B40" s="18" t="s">
        <v>74</v>
      </c>
      <c r="C40" s="19">
        <v>1612936</v>
      </c>
      <c r="D40" s="19">
        <v>1612936</v>
      </c>
      <c r="E40" s="62">
        <f>1612936+409888</f>
        <v>2022824</v>
      </c>
    </row>
    <row r="41" spans="1:5" ht="12" customHeight="1">
      <c r="A41" s="13" t="s">
        <v>77</v>
      </c>
      <c r="B41" s="16" t="s">
        <v>76</v>
      </c>
      <c r="C41" s="17">
        <v>6500</v>
      </c>
      <c r="D41" s="17">
        <v>6500</v>
      </c>
      <c r="E41" s="72">
        <v>6500</v>
      </c>
    </row>
    <row r="42" spans="1:5" ht="12" customHeight="1" thickBot="1">
      <c r="A42" s="13" t="s">
        <v>78</v>
      </c>
      <c r="B42" s="24"/>
      <c r="C42" s="25"/>
      <c r="D42" s="25"/>
      <c r="E42" s="267"/>
    </row>
    <row r="43" spans="1:5" ht="18.75" customHeight="1" thickBot="1">
      <c r="A43" s="259" t="s">
        <v>80</v>
      </c>
      <c r="B43" s="26" t="s">
        <v>79</v>
      </c>
      <c r="C43" s="396">
        <f>SUM(C5+C17+C28+C33+C38+C41)</f>
        <v>4690957</v>
      </c>
      <c r="D43" s="396">
        <f>SUM(D5+D17+D28+D33+D38+D41)</f>
        <v>4660840</v>
      </c>
      <c r="E43" s="397">
        <f>SUM(E5+E17+E28+E33+E38+E41)</f>
        <v>4981338</v>
      </c>
    </row>
    <row r="44" spans="1:5" ht="12" customHeight="1">
      <c r="A44" s="259" t="s">
        <v>82</v>
      </c>
      <c r="B44" s="14" t="s">
        <v>81</v>
      </c>
      <c r="C44" s="15">
        <f>SUM(C45:C46)</f>
        <v>1200000</v>
      </c>
      <c r="D44" s="15">
        <f>SUM(D45:D46)</f>
        <v>1740450</v>
      </c>
      <c r="E44" s="70">
        <f>SUM(E45:E46)</f>
        <v>1730905</v>
      </c>
    </row>
    <row r="45" spans="1:5" ht="12" customHeight="1">
      <c r="A45" s="259" t="s">
        <v>84</v>
      </c>
      <c r="B45" s="18" t="s">
        <v>83</v>
      </c>
      <c r="C45" s="19">
        <v>200000</v>
      </c>
      <c r="D45" s="19">
        <v>412535</v>
      </c>
      <c r="E45" s="62">
        <f>412535-5187</f>
        <v>407348</v>
      </c>
    </row>
    <row r="46" spans="1:5" ht="12" customHeight="1">
      <c r="A46" s="259" t="s">
        <v>86</v>
      </c>
      <c r="B46" s="18" t="s">
        <v>85</v>
      </c>
      <c r="C46" s="19">
        <v>1000000</v>
      </c>
      <c r="D46" s="19">
        <v>1327915</v>
      </c>
      <c r="E46" s="62">
        <f>1327915-4358</f>
        <v>1323557</v>
      </c>
    </row>
    <row r="47" spans="1:5" ht="12" customHeight="1">
      <c r="A47" s="259" t="s">
        <v>88</v>
      </c>
      <c r="B47" s="18" t="s">
        <v>87</v>
      </c>
      <c r="C47" s="19"/>
      <c r="D47" s="19"/>
      <c r="E47" s="62"/>
    </row>
    <row r="48" spans="1:5" ht="10.5" customHeight="1">
      <c r="A48" s="259" t="s">
        <v>89</v>
      </c>
      <c r="B48" s="18"/>
      <c r="C48" s="19"/>
      <c r="D48" s="19"/>
      <c r="E48" s="62"/>
    </row>
    <row r="49" spans="1:5" ht="12" customHeight="1">
      <c r="A49" s="259" t="s">
        <v>91</v>
      </c>
      <c r="B49" s="16" t="s">
        <v>90</v>
      </c>
      <c r="C49" s="17">
        <f>SUM(C50:C51)</f>
        <v>0</v>
      </c>
      <c r="D49" s="17">
        <f>SUM(D50:D51)</f>
        <v>0</v>
      </c>
      <c r="E49" s="72">
        <f>SUM(E50:E51)</f>
        <v>0</v>
      </c>
    </row>
    <row r="50" spans="1:5" ht="12" customHeight="1">
      <c r="A50" s="259" t="s">
        <v>93</v>
      </c>
      <c r="B50" s="18" t="s">
        <v>92</v>
      </c>
      <c r="C50" s="19"/>
      <c r="D50" s="19"/>
      <c r="E50" s="62"/>
    </row>
    <row r="51" spans="1:5" ht="12" customHeight="1">
      <c r="A51" s="259" t="s">
        <v>95</v>
      </c>
      <c r="B51" s="18" t="s">
        <v>94</v>
      </c>
      <c r="C51" s="19"/>
      <c r="D51" s="19"/>
      <c r="E51" s="62"/>
    </row>
    <row r="52" spans="1:5" ht="12" customHeight="1">
      <c r="A52" s="259" t="s">
        <v>97</v>
      </c>
      <c r="B52" s="16" t="s">
        <v>96</v>
      </c>
      <c r="C52" s="17"/>
      <c r="D52" s="17"/>
      <c r="E52" s="72"/>
    </row>
    <row r="53" spans="1:5" ht="12" customHeight="1">
      <c r="A53" s="259" t="s">
        <v>99</v>
      </c>
      <c r="B53" s="16" t="s">
        <v>98</v>
      </c>
      <c r="C53" s="17">
        <f>SUM(C54:C56)</f>
        <v>0</v>
      </c>
      <c r="D53" s="17">
        <f>SUM(D54:D56)</f>
        <v>0</v>
      </c>
      <c r="E53" s="72">
        <f>SUM(E54:E56)</f>
        <v>0</v>
      </c>
    </row>
    <row r="54" spans="1:5" ht="12" customHeight="1">
      <c r="A54" s="259" t="s">
        <v>101</v>
      </c>
      <c r="B54" s="18" t="s">
        <v>100</v>
      </c>
      <c r="C54" s="19"/>
      <c r="D54" s="19"/>
      <c r="E54" s="62"/>
    </row>
    <row r="55" spans="1:5" ht="12" customHeight="1">
      <c r="A55" s="259" t="s">
        <v>103</v>
      </c>
      <c r="B55" s="18" t="s">
        <v>102</v>
      </c>
      <c r="C55" s="19"/>
      <c r="D55" s="19"/>
      <c r="E55" s="62"/>
    </row>
    <row r="56" spans="1:5" ht="12" customHeight="1">
      <c r="A56" s="259" t="s">
        <v>105</v>
      </c>
      <c r="B56" s="18" t="s">
        <v>104</v>
      </c>
      <c r="C56" s="19"/>
      <c r="D56" s="19"/>
      <c r="E56" s="62"/>
    </row>
    <row r="57" spans="1:5" ht="12" customHeight="1">
      <c r="A57" s="259" t="s">
        <v>107</v>
      </c>
      <c r="B57" s="16" t="s">
        <v>106</v>
      </c>
      <c r="C57" s="17"/>
      <c r="D57" s="17"/>
      <c r="E57" s="72"/>
    </row>
    <row r="58" spans="1:5" ht="11.25" customHeight="1">
      <c r="A58" s="259" t="s">
        <v>108</v>
      </c>
      <c r="B58" s="16"/>
      <c r="C58" s="19"/>
      <c r="D58" s="19"/>
      <c r="E58" s="62"/>
    </row>
    <row r="59" spans="1:9" ht="18.75" customHeight="1" thickBot="1">
      <c r="A59" s="259" t="s">
        <v>110</v>
      </c>
      <c r="B59" s="27" t="s">
        <v>109</v>
      </c>
      <c r="C59" s="28">
        <f>SUM(C49+C52+C53+C57)</f>
        <v>0</v>
      </c>
      <c r="D59" s="28">
        <f>SUM(D49+D52+D53+D57)</f>
        <v>0</v>
      </c>
      <c r="E59" s="398">
        <f>SUM(E49+E52+E53+E57)</f>
        <v>0</v>
      </c>
      <c r="I59" s="29"/>
    </row>
    <row r="60" spans="1:5" ht="18.75" customHeight="1" thickBot="1">
      <c r="A60" s="260" t="s">
        <v>113</v>
      </c>
      <c r="B60" s="31" t="s">
        <v>417</v>
      </c>
      <c r="C60" s="32">
        <f>SUM(C43+C44+C59)</f>
        <v>5890957</v>
      </c>
      <c r="D60" s="32">
        <f>SUM(D43+D44+D59)</f>
        <v>6401290</v>
      </c>
      <c r="E60" s="399">
        <f>SUM(E43+E44+E59)</f>
        <v>6712243</v>
      </c>
    </row>
    <row r="61" spans="1:5" ht="12.75">
      <c r="A61" s="33"/>
      <c r="C61" s="34"/>
      <c r="D61" s="34"/>
      <c r="E61" s="34"/>
    </row>
    <row r="62" spans="1:5" ht="15">
      <c r="A62" s="378" t="s">
        <v>111</v>
      </c>
      <c r="B62" s="378"/>
      <c r="C62" s="378"/>
      <c r="D62" s="378"/>
      <c r="E62" s="378"/>
    </row>
    <row r="63" spans="1:5" ht="13.5" thickBot="1">
      <c r="A63" s="33"/>
      <c r="B63" s="35"/>
      <c r="C63" s="36"/>
      <c r="D63" s="36"/>
      <c r="E63" s="37"/>
    </row>
    <row r="64" spans="1:5" ht="13.5" thickBot="1">
      <c r="A64" s="4"/>
      <c r="B64" s="5" t="s">
        <v>1</v>
      </c>
      <c r="C64" s="6" t="s">
        <v>2</v>
      </c>
      <c r="D64" s="6" t="s">
        <v>3</v>
      </c>
      <c r="E64" s="400" t="s">
        <v>4</v>
      </c>
    </row>
    <row r="65" spans="1:5" ht="35.25" customHeight="1" thickBot="1">
      <c r="A65" s="38"/>
      <c r="B65" s="39" t="s">
        <v>112</v>
      </c>
      <c r="C65" s="9" t="s">
        <v>8</v>
      </c>
      <c r="D65" s="9" t="s">
        <v>473</v>
      </c>
      <c r="E65" s="401" t="s">
        <v>205</v>
      </c>
    </row>
    <row r="66" spans="1:5" ht="12.75">
      <c r="A66" s="261" t="s">
        <v>115</v>
      </c>
      <c r="B66" s="14" t="s">
        <v>114</v>
      </c>
      <c r="C66" s="15">
        <f>SUM(C67:C70)</f>
        <v>3012428</v>
      </c>
      <c r="D66" s="15">
        <f>SUM(D67:D70)</f>
        <v>3054837</v>
      </c>
      <c r="E66" s="70">
        <f>SUM(E67:E70)</f>
        <v>3111027</v>
      </c>
    </row>
    <row r="67" spans="1:5" ht="12.75">
      <c r="A67" s="262" t="s">
        <v>117</v>
      </c>
      <c r="B67" s="18" t="s">
        <v>116</v>
      </c>
      <c r="C67" s="19">
        <v>687606</v>
      </c>
      <c r="D67" s="19">
        <v>705633</v>
      </c>
      <c r="E67" s="62">
        <f>705633-233423</f>
        <v>472210</v>
      </c>
    </row>
    <row r="68" spans="1:5" ht="12.75">
      <c r="A68" s="262" t="s">
        <v>119</v>
      </c>
      <c r="B68" s="18" t="s">
        <v>118</v>
      </c>
      <c r="C68" s="19">
        <v>130000</v>
      </c>
      <c r="D68" s="19">
        <v>157363</v>
      </c>
      <c r="E68" s="62">
        <f>157363+1468</f>
        <v>158831</v>
      </c>
    </row>
    <row r="69" spans="1:5" ht="12.75">
      <c r="A69" s="262" t="s">
        <v>121</v>
      </c>
      <c r="B69" s="18" t="s">
        <v>120</v>
      </c>
      <c r="C69" s="19">
        <v>1434287</v>
      </c>
      <c r="D69" s="19">
        <v>1402906</v>
      </c>
      <c r="E69" s="62">
        <f>1402906+333249</f>
        <v>1736155</v>
      </c>
    </row>
    <row r="70" spans="1:5" ht="12.75">
      <c r="A70" s="262" t="s">
        <v>123</v>
      </c>
      <c r="B70" s="18" t="s">
        <v>122</v>
      </c>
      <c r="C70" s="19">
        <v>760535</v>
      </c>
      <c r="D70" s="19">
        <v>788935</v>
      </c>
      <c r="E70" s="62">
        <f>788935-45104</f>
        <v>743831</v>
      </c>
    </row>
    <row r="71" spans="1:5" ht="11.25" customHeight="1">
      <c r="A71" s="262" t="s">
        <v>125</v>
      </c>
      <c r="B71" s="18" t="s">
        <v>124</v>
      </c>
      <c r="C71" s="19"/>
      <c r="D71" s="19"/>
      <c r="E71" s="62"/>
    </row>
    <row r="72" spans="1:6" ht="12.75">
      <c r="A72" s="262" t="s">
        <v>127</v>
      </c>
      <c r="B72" s="18" t="s">
        <v>126</v>
      </c>
      <c r="C72" s="19">
        <v>1062859</v>
      </c>
      <c r="D72" s="19">
        <v>1072450</v>
      </c>
      <c r="E72" s="62">
        <f>1072450-168261</f>
        <v>904189</v>
      </c>
      <c r="F72" s="40"/>
    </row>
    <row r="73" spans="1:6" ht="12.75">
      <c r="A73" s="262" t="s">
        <v>129</v>
      </c>
      <c r="B73" s="18" t="s">
        <v>128</v>
      </c>
      <c r="C73" s="19">
        <v>252255</v>
      </c>
      <c r="D73" s="19">
        <v>254325</v>
      </c>
      <c r="E73" s="62">
        <f>254325-47687</f>
        <v>206638</v>
      </c>
      <c r="F73" s="40"/>
    </row>
    <row r="74" spans="1:6" ht="12.75">
      <c r="A74" s="262" t="s">
        <v>131</v>
      </c>
      <c r="B74" s="18" t="s">
        <v>130</v>
      </c>
      <c r="C74" s="19">
        <v>700</v>
      </c>
      <c r="D74" s="19">
        <v>700</v>
      </c>
      <c r="E74" s="62">
        <f>700-206</f>
        <v>494</v>
      </c>
      <c r="F74" s="40"/>
    </row>
    <row r="75" spans="1:6" ht="12.75">
      <c r="A75" s="262" t="s">
        <v>133</v>
      </c>
      <c r="B75" s="18" t="s">
        <v>132</v>
      </c>
      <c r="C75" s="19">
        <v>997463</v>
      </c>
      <c r="D75" s="19">
        <f>1002394-23584</f>
        <v>978810</v>
      </c>
      <c r="E75" s="62">
        <f>978810+13534</f>
        <v>992344</v>
      </c>
      <c r="F75" s="40"/>
    </row>
    <row r="76" spans="1:6" ht="12.75">
      <c r="A76" s="262" t="s">
        <v>135</v>
      </c>
      <c r="B76" s="18" t="s">
        <v>134</v>
      </c>
      <c r="C76" s="19"/>
      <c r="D76" s="19"/>
      <c r="E76" s="62"/>
      <c r="F76" s="40"/>
    </row>
    <row r="77" spans="1:6" ht="12.75">
      <c r="A77" s="262" t="s">
        <v>137</v>
      </c>
      <c r="B77" s="18" t="s">
        <v>136</v>
      </c>
      <c r="C77" s="19">
        <v>30000</v>
      </c>
      <c r="D77" s="19">
        <v>30000</v>
      </c>
      <c r="E77" s="62">
        <v>30000</v>
      </c>
      <c r="F77" s="40"/>
    </row>
    <row r="78" spans="1:6" ht="12.75">
      <c r="A78" s="262" t="s">
        <v>139</v>
      </c>
      <c r="B78" s="18" t="s">
        <v>138</v>
      </c>
      <c r="C78" s="19">
        <v>307111</v>
      </c>
      <c r="D78" s="19">
        <f>332238+23584</f>
        <v>355822</v>
      </c>
      <c r="E78" s="62">
        <f>355822+258130</f>
        <v>613952</v>
      </c>
      <c r="F78" s="40"/>
    </row>
    <row r="79" spans="1:6" ht="12.75">
      <c r="A79" s="262" t="s">
        <v>141</v>
      </c>
      <c r="B79" s="41" t="s">
        <v>140</v>
      </c>
      <c r="C79" s="19">
        <v>362040</v>
      </c>
      <c r="D79" s="19">
        <v>362730</v>
      </c>
      <c r="E79" s="62">
        <f>362730+680</f>
        <v>363410</v>
      </c>
      <c r="F79" s="40"/>
    </row>
    <row r="80" spans="1:6" ht="12.75">
      <c r="A80" s="262" t="s">
        <v>143</v>
      </c>
      <c r="B80" s="41" t="s">
        <v>142</v>
      </c>
      <c r="C80" s="19"/>
      <c r="D80" s="19"/>
      <c r="E80" s="62"/>
      <c r="F80" s="40"/>
    </row>
    <row r="81" spans="1:6" ht="12.75">
      <c r="A81" s="262" t="s">
        <v>145</v>
      </c>
      <c r="B81" s="41" t="s">
        <v>144</v>
      </c>
      <c r="C81" s="19"/>
      <c r="D81" s="19"/>
      <c r="E81" s="62"/>
      <c r="F81" s="40"/>
    </row>
    <row r="82" spans="1:5" ht="12.75">
      <c r="A82" s="262" t="s">
        <v>147</v>
      </c>
      <c r="B82" s="41" t="s">
        <v>146</v>
      </c>
      <c r="C82" s="19"/>
      <c r="D82" s="19"/>
      <c r="E82" s="62"/>
    </row>
    <row r="83" spans="1:5" ht="12" customHeight="1">
      <c r="A83" s="262" t="s">
        <v>148</v>
      </c>
      <c r="B83" s="41"/>
      <c r="C83" s="19"/>
      <c r="D83" s="19"/>
      <c r="E83" s="62"/>
    </row>
    <row r="84" spans="1:5" ht="12.75">
      <c r="A84" s="262" t="s">
        <v>150</v>
      </c>
      <c r="B84" s="16" t="s">
        <v>149</v>
      </c>
      <c r="C84" s="17">
        <f>SUM(C85:C91)</f>
        <v>2008186</v>
      </c>
      <c r="D84" s="17">
        <f>SUM(D85:D91)</f>
        <v>2027667</v>
      </c>
      <c r="E84" s="72">
        <f>SUM(E85:E91)</f>
        <v>2472234</v>
      </c>
    </row>
    <row r="85" spans="1:5" ht="12.75">
      <c r="A85" s="262" t="s">
        <v>152</v>
      </c>
      <c r="B85" s="18" t="s">
        <v>151</v>
      </c>
      <c r="C85" s="19">
        <v>1538839</v>
      </c>
      <c r="D85" s="19">
        <v>1553462</v>
      </c>
      <c r="E85" s="62">
        <f>1553462+428739</f>
        <v>1982201</v>
      </c>
    </row>
    <row r="86" spans="1:5" ht="12.75">
      <c r="A86" s="262" t="s">
        <v>154</v>
      </c>
      <c r="B86" s="18" t="s">
        <v>153</v>
      </c>
      <c r="C86" s="19">
        <v>212144</v>
      </c>
      <c r="D86" s="19">
        <v>216502</v>
      </c>
      <c r="E86" s="62">
        <f>216502-12414</f>
        <v>204088</v>
      </c>
    </row>
    <row r="87" spans="1:5" ht="12.75">
      <c r="A87" s="262" t="s">
        <v>156</v>
      </c>
      <c r="B87" s="41" t="s">
        <v>155</v>
      </c>
      <c r="C87" s="19">
        <v>70000</v>
      </c>
      <c r="D87" s="19">
        <v>70000</v>
      </c>
      <c r="E87" s="62">
        <v>70000</v>
      </c>
    </row>
    <row r="88" spans="1:5" ht="12.75">
      <c r="A88" s="262" t="s">
        <v>158</v>
      </c>
      <c r="B88" s="18" t="s">
        <v>157</v>
      </c>
      <c r="C88" s="19"/>
      <c r="D88" s="19"/>
      <c r="E88" s="62">
        <f>28242</f>
        <v>28242</v>
      </c>
    </row>
    <row r="89" spans="1:5" ht="12.75">
      <c r="A89" s="262" t="s">
        <v>160</v>
      </c>
      <c r="B89" s="41" t="s">
        <v>159</v>
      </c>
      <c r="C89" s="19">
        <v>187203</v>
      </c>
      <c r="D89" s="19">
        <v>187203</v>
      </c>
      <c r="E89" s="62">
        <v>187203</v>
      </c>
    </row>
    <row r="90" spans="1:5" ht="12.75">
      <c r="A90" s="262" t="s">
        <v>162</v>
      </c>
      <c r="B90" s="18" t="s">
        <v>161</v>
      </c>
      <c r="C90" s="19"/>
      <c r="D90" s="19"/>
      <c r="E90" s="62"/>
    </row>
    <row r="91" spans="1:5" ht="12.75">
      <c r="A91" s="262" t="s">
        <v>164</v>
      </c>
      <c r="B91" s="41" t="s">
        <v>163</v>
      </c>
      <c r="C91" s="19"/>
      <c r="D91" s="19">
        <v>500</v>
      </c>
      <c r="E91" s="62">
        <v>500</v>
      </c>
    </row>
    <row r="92" spans="1:5" ht="12.75">
      <c r="A92" s="262" t="s">
        <v>166</v>
      </c>
      <c r="B92" s="41" t="s">
        <v>165</v>
      </c>
      <c r="C92" s="19"/>
      <c r="D92" s="19"/>
      <c r="E92" s="62"/>
    </row>
    <row r="93" spans="1:5" ht="11.25" customHeight="1">
      <c r="A93" s="262" t="s">
        <v>167</v>
      </c>
      <c r="B93" s="41"/>
      <c r="C93" s="19"/>
      <c r="D93" s="19"/>
      <c r="E93" s="62"/>
    </row>
    <row r="94" spans="1:5" ht="12.75">
      <c r="A94" s="262" t="s">
        <v>169</v>
      </c>
      <c r="B94" s="16" t="s">
        <v>168</v>
      </c>
      <c r="C94" s="17">
        <f>SUM(C95:C97)</f>
        <v>775153</v>
      </c>
      <c r="D94" s="17">
        <f>SUM(D95:D97)</f>
        <v>1223596</v>
      </c>
      <c r="E94" s="72">
        <f>SUM(E95:E97)</f>
        <v>1033792</v>
      </c>
    </row>
    <row r="95" spans="1:5" ht="12.75">
      <c r="A95" s="262" t="s">
        <v>171</v>
      </c>
      <c r="B95" s="18" t="s">
        <v>170</v>
      </c>
      <c r="C95" s="19"/>
      <c r="D95" s="19"/>
      <c r="E95" s="62"/>
    </row>
    <row r="96" spans="1:5" ht="12.75">
      <c r="A96" s="262" t="s">
        <v>173</v>
      </c>
      <c r="B96" s="18" t="s">
        <v>172</v>
      </c>
      <c r="C96" s="19">
        <v>61083</v>
      </c>
      <c r="D96" s="19">
        <v>188719</v>
      </c>
      <c r="E96" s="62">
        <f>188719-150409</f>
        <v>38310</v>
      </c>
    </row>
    <row r="97" spans="1:5" ht="12.75">
      <c r="A97" s="262" t="s">
        <v>175</v>
      </c>
      <c r="B97" s="18" t="s">
        <v>174</v>
      </c>
      <c r="C97" s="19">
        <v>714070</v>
      </c>
      <c r="D97" s="19">
        <v>1034877</v>
      </c>
      <c r="E97" s="62">
        <f>1034877-39395</f>
        <v>995482</v>
      </c>
    </row>
    <row r="98" spans="1:5" ht="13.5" thickBot="1">
      <c r="A98" s="262" t="s">
        <v>177</v>
      </c>
      <c r="B98" s="24" t="s">
        <v>176</v>
      </c>
      <c r="C98" s="42"/>
      <c r="D98" s="42"/>
      <c r="E98" s="64"/>
    </row>
    <row r="99" spans="1:5" ht="18.75" customHeight="1" thickBot="1">
      <c r="A99" s="262" t="s">
        <v>179</v>
      </c>
      <c r="B99" s="26" t="s">
        <v>178</v>
      </c>
      <c r="C99" s="43">
        <f>SUM(C66+C84+C94+C98)</f>
        <v>5795767</v>
      </c>
      <c r="D99" s="43">
        <f>SUM(D66+D84+D94+D98)</f>
        <v>6306100</v>
      </c>
      <c r="E99" s="402">
        <f>SUM(E66+E84+E94+E98)</f>
        <v>6617053</v>
      </c>
    </row>
    <row r="100" spans="1:5" ht="12.75">
      <c r="A100" s="262" t="s">
        <v>181</v>
      </c>
      <c r="B100" s="14" t="s">
        <v>180</v>
      </c>
      <c r="C100" s="15">
        <f>SUM(C101:C105)</f>
        <v>95190</v>
      </c>
      <c r="D100" s="15">
        <f>SUM(D101:D105)</f>
        <v>95190</v>
      </c>
      <c r="E100" s="70">
        <f>SUM(E101:E105)</f>
        <v>95190</v>
      </c>
    </row>
    <row r="101" spans="1:5" ht="12.75">
      <c r="A101" s="262" t="s">
        <v>183</v>
      </c>
      <c r="B101" s="18" t="s">
        <v>182</v>
      </c>
      <c r="C101" s="19"/>
      <c r="D101" s="19"/>
      <c r="E101" s="62"/>
    </row>
    <row r="102" spans="1:5" ht="12.75">
      <c r="A102" s="262" t="s">
        <v>185</v>
      </c>
      <c r="B102" s="18" t="s">
        <v>184</v>
      </c>
      <c r="C102" s="19">
        <v>95190</v>
      </c>
      <c r="D102" s="19">
        <v>95190</v>
      </c>
      <c r="E102" s="62">
        <v>95190</v>
      </c>
    </row>
    <row r="103" spans="1:5" ht="12.75">
      <c r="A103" s="262" t="s">
        <v>187</v>
      </c>
      <c r="B103" s="18" t="s">
        <v>186</v>
      </c>
      <c r="C103" s="19"/>
      <c r="D103" s="19"/>
      <c r="E103" s="62"/>
    </row>
    <row r="104" spans="1:5" ht="12.75">
      <c r="A104" s="262" t="s">
        <v>189</v>
      </c>
      <c r="B104" s="18" t="s">
        <v>188</v>
      </c>
      <c r="C104" s="19"/>
      <c r="D104" s="19"/>
      <c r="E104" s="62"/>
    </row>
    <row r="105" spans="1:5" ht="12.75" customHeight="1">
      <c r="A105" s="262" t="s">
        <v>191</v>
      </c>
      <c r="B105" s="44" t="s">
        <v>190</v>
      </c>
      <c r="C105" s="19"/>
      <c r="D105" s="19"/>
      <c r="E105" s="62"/>
    </row>
    <row r="106" spans="1:5" ht="12.75">
      <c r="A106" s="262" t="s">
        <v>193</v>
      </c>
      <c r="B106" s="41" t="s">
        <v>192</v>
      </c>
      <c r="C106" s="19"/>
      <c r="D106" s="19"/>
      <c r="E106" s="62"/>
    </row>
    <row r="107" spans="1:5" ht="12.75">
      <c r="A107" s="262" t="s">
        <v>195</v>
      </c>
      <c r="B107" s="41" t="s">
        <v>194</v>
      </c>
      <c r="C107" s="19"/>
      <c r="D107" s="19"/>
      <c r="E107" s="62"/>
    </row>
    <row r="108" spans="1:5" ht="13.5" thickBot="1">
      <c r="A108" s="262" t="s">
        <v>197</v>
      </c>
      <c r="B108" s="24" t="s">
        <v>196</v>
      </c>
      <c r="C108" s="45"/>
      <c r="D108" s="45"/>
      <c r="E108" s="403"/>
    </row>
    <row r="109" spans="1:5" ht="18.75" customHeight="1" thickBot="1">
      <c r="A109" s="262" t="s">
        <v>199</v>
      </c>
      <c r="B109" s="46" t="s">
        <v>198</v>
      </c>
      <c r="C109" s="47">
        <f>SUM(C100+C105+C108)</f>
        <v>95190</v>
      </c>
      <c r="D109" s="47">
        <f>SUM(D100+D105+D108)</f>
        <v>95190</v>
      </c>
      <c r="E109" s="404">
        <f>SUM(E100+E105+E108)</f>
        <v>95190</v>
      </c>
    </row>
    <row r="110" spans="1:5" ht="18.75" customHeight="1" thickBot="1">
      <c r="A110" s="262" t="s">
        <v>200</v>
      </c>
      <c r="B110" s="48" t="s">
        <v>418</v>
      </c>
      <c r="C110" s="32">
        <f>SUM(C99+C109)</f>
        <v>5890957</v>
      </c>
      <c r="D110" s="32">
        <f>SUM(D99+D109)</f>
        <v>6401290</v>
      </c>
      <c r="E110" s="399">
        <f>SUM(E99+E109)</f>
        <v>6712243</v>
      </c>
    </row>
    <row r="111" spans="1:5" ht="13.5" thickBot="1">
      <c r="A111" s="262" t="s">
        <v>201</v>
      </c>
      <c r="B111" s="49"/>
      <c r="C111" s="50"/>
      <c r="D111" s="50"/>
      <c r="E111" s="405"/>
    </row>
    <row r="112" spans="1:5" ht="18.75" customHeight="1" thickBot="1">
      <c r="A112" s="262" t="s">
        <v>202</v>
      </c>
      <c r="B112" s="51" t="s">
        <v>419</v>
      </c>
      <c r="C112" s="52">
        <f>SUM(C43-C99)</f>
        <v>-1104810</v>
      </c>
      <c r="D112" s="52">
        <f>SUM(D43-D99)</f>
        <v>-1645260</v>
      </c>
      <c r="E112" s="406">
        <f>SUM(E43-E99)</f>
        <v>-1635715</v>
      </c>
    </row>
    <row r="113" spans="1:5" ht="18.75" customHeight="1" thickBot="1">
      <c r="A113" s="263" t="s">
        <v>416</v>
      </c>
      <c r="B113" s="53" t="s">
        <v>420</v>
      </c>
      <c r="C113" s="52">
        <f>SUM(C59-C109)</f>
        <v>-95190</v>
      </c>
      <c r="D113" s="52">
        <f>SUM(D59-D109)</f>
        <v>-95190</v>
      </c>
      <c r="E113" s="406">
        <f>SUM(E59-E109)</f>
        <v>-95190</v>
      </c>
    </row>
  </sheetData>
  <mergeCells count="2">
    <mergeCell ref="A1:E1"/>
    <mergeCell ref="A62:E62"/>
  </mergeCells>
  <printOptions horizontalCentered="1" verticalCentered="1"/>
  <pageMargins left="0.25" right="0.25" top="0.97" bottom="0.4724409448818898" header="0.43" footer="0.07874015748031496"/>
  <pageSetup horizontalDpi="600" verticalDpi="600" orientation="portrait" scale="94" r:id="rId1"/>
  <headerFooter alignWithMargins="0">
    <oddHeader xml:space="preserve">&amp;L  1. melléklet a …/…..(….) önkormányzati rendelethez&amp;C&amp;"Arial CE,Félkövér"&amp;11
Kisvárda Város Önkormányzata 2013. évi költségvetésének pénzügyi mérlege </oddHeader>
  </headerFooter>
  <rowBreaks count="1" manualBreakCount="1"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pane xSplit="2" ySplit="4" topLeftCell="C5" activePane="bottomRight" state="frozen"/>
      <selection pane="topLeft" activeCell="C74" sqref="C74"/>
      <selection pane="topRight" activeCell="C74" sqref="C74"/>
      <selection pane="bottomLeft" activeCell="C74" sqref="C74"/>
      <selection pane="bottomRight" activeCell="L16" sqref="L16"/>
    </sheetView>
  </sheetViews>
  <sheetFormatPr defaultColWidth="9.00390625" defaultRowHeight="12.75"/>
  <cols>
    <col min="1" max="1" width="3.25390625" style="2" customWidth="1"/>
    <col min="2" max="2" width="38.75390625" style="2" customWidth="1"/>
    <col min="3" max="5" width="9.75390625" style="2" customWidth="1"/>
    <col min="6" max="6" width="33.25390625" style="2" customWidth="1"/>
    <col min="7" max="9" width="9.625" style="2" customWidth="1"/>
    <col min="10" max="16384" width="9.125" style="2" customWidth="1"/>
  </cols>
  <sheetData>
    <row r="2" spans="6:9" ht="12.75" customHeight="1" thickBot="1">
      <c r="F2" s="379" t="s">
        <v>206</v>
      </c>
      <c r="G2" s="379"/>
      <c r="H2" s="54"/>
      <c r="I2" s="54"/>
    </row>
    <row r="3" spans="1:9" ht="12.75" customHeight="1" thickBot="1">
      <c r="A3" s="4"/>
      <c r="B3" s="55" t="s">
        <v>1</v>
      </c>
      <c r="C3" s="56" t="s">
        <v>2</v>
      </c>
      <c r="D3" s="56" t="s">
        <v>3</v>
      </c>
      <c r="E3" s="57" t="s">
        <v>4</v>
      </c>
      <c r="F3" s="55" t="s">
        <v>403</v>
      </c>
      <c r="G3" s="56" t="s">
        <v>6</v>
      </c>
      <c r="H3" s="56" t="s">
        <v>282</v>
      </c>
      <c r="I3" s="57" t="s">
        <v>283</v>
      </c>
    </row>
    <row r="4" spans="1:9" s="212" customFormat="1" ht="23.25" customHeight="1" thickBot="1">
      <c r="A4" s="208"/>
      <c r="B4" s="209" t="s">
        <v>207</v>
      </c>
      <c r="C4" s="210" t="s">
        <v>208</v>
      </c>
      <c r="D4" s="9" t="s">
        <v>473</v>
      </c>
      <c r="E4" s="58" t="s">
        <v>402</v>
      </c>
      <c r="F4" s="211" t="s">
        <v>209</v>
      </c>
      <c r="G4" s="210" t="s">
        <v>208</v>
      </c>
      <c r="H4" s="9" t="s">
        <v>473</v>
      </c>
      <c r="I4" s="58" t="s">
        <v>402</v>
      </c>
    </row>
    <row r="5" spans="1:9" ht="12" customHeight="1">
      <c r="A5" s="13" t="s">
        <v>9</v>
      </c>
      <c r="B5" s="59" t="s">
        <v>210</v>
      </c>
      <c r="C5" s="60">
        <f>187988-3000+25000</f>
        <v>209988</v>
      </c>
      <c r="D5" s="60">
        <f>210438+134</f>
        <v>210572</v>
      </c>
      <c r="E5" s="61">
        <f>210438+134-20607</f>
        <v>189965</v>
      </c>
      <c r="F5" s="59" t="s">
        <v>211</v>
      </c>
      <c r="G5" s="60">
        <v>1062859</v>
      </c>
      <c r="H5" s="203">
        <v>1072450</v>
      </c>
      <c r="I5" s="219">
        <f>1072450-168261</f>
        <v>904189</v>
      </c>
    </row>
    <row r="6" spans="1:9" ht="12" customHeight="1">
      <c r="A6" s="13" t="s">
        <v>11</v>
      </c>
      <c r="B6" s="41" t="s">
        <v>212</v>
      </c>
      <c r="C6" s="19">
        <v>1022170</v>
      </c>
      <c r="D6" s="19">
        <v>1022170</v>
      </c>
      <c r="E6" s="62">
        <v>1022170</v>
      </c>
      <c r="F6" s="41" t="s">
        <v>213</v>
      </c>
      <c r="G6" s="19">
        <v>252255</v>
      </c>
      <c r="H6" s="197">
        <v>254325</v>
      </c>
      <c r="I6" s="213">
        <f>254325-47687</f>
        <v>206638</v>
      </c>
    </row>
    <row r="7" spans="1:9" ht="12" customHeight="1">
      <c r="A7" s="13" t="s">
        <v>13</v>
      </c>
      <c r="B7" s="41" t="s">
        <v>214</v>
      </c>
      <c r="C7" s="19">
        <f>765701-3460+9018</f>
        <v>771259</v>
      </c>
      <c r="D7" s="19">
        <f>771259+11179-10489+148183</f>
        <v>920132</v>
      </c>
      <c r="E7" s="62">
        <f>771259+11179-10489+148183-2379+465+572</f>
        <v>918790</v>
      </c>
      <c r="F7" s="41" t="s">
        <v>215</v>
      </c>
      <c r="G7" s="19">
        <f>731619+9861-1977+3360+200000+25000+29600</f>
        <v>997463</v>
      </c>
      <c r="H7" s="197">
        <f>1002394-23584</f>
        <v>978810</v>
      </c>
      <c r="I7" s="213">
        <f>978810+13534</f>
        <v>992344</v>
      </c>
    </row>
    <row r="8" spans="1:9" ht="12" customHeight="1">
      <c r="A8" s="13" t="s">
        <v>15</v>
      </c>
      <c r="B8" s="41" t="s">
        <v>216</v>
      </c>
      <c r="C8" s="19">
        <f>770284-5000+200000</f>
        <v>965284</v>
      </c>
      <c r="D8" s="19">
        <f>765284+10489+984-12373</f>
        <v>764384</v>
      </c>
      <c r="E8" s="62">
        <f>765284+10489+984-12373-67946+572</f>
        <v>697010</v>
      </c>
      <c r="F8" s="18" t="s">
        <v>217</v>
      </c>
      <c r="G8" s="19"/>
      <c r="H8" s="197"/>
      <c r="I8" s="213"/>
    </row>
    <row r="9" spans="1:9" ht="12" customHeight="1">
      <c r="A9" s="13" t="s">
        <v>17</v>
      </c>
      <c r="B9" s="41" t="s">
        <v>218</v>
      </c>
      <c r="C9" s="19"/>
      <c r="D9" s="19">
        <v>8500</v>
      </c>
      <c r="E9" s="62">
        <f>8500+370</f>
        <v>8870</v>
      </c>
      <c r="F9" s="41" t="s">
        <v>219</v>
      </c>
      <c r="G9" s="19">
        <v>30000</v>
      </c>
      <c r="H9" s="197">
        <v>30000</v>
      </c>
      <c r="I9" s="213">
        <v>30000</v>
      </c>
    </row>
    <row r="10" spans="1:9" ht="12" customHeight="1">
      <c r="A10" s="13" t="s">
        <v>19</v>
      </c>
      <c r="B10" s="41" t="s">
        <v>220</v>
      </c>
      <c r="C10" s="19"/>
      <c r="D10" s="197"/>
      <c r="E10" s="213"/>
      <c r="F10" s="41" t="s">
        <v>221</v>
      </c>
      <c r="G10" s="19">
        <v>700</v>
      </c>
      <c r="H10" s="197">
        <v>700</v>
      </c>
      <c r="I10" s="213">
        <f>700-206</f>
        <v>494</v>
      </c>
    </row>
    <row r="11" spans="1:9" ht="12" customHeight="1">
      <c r="A11" s="13" t="s">
        <v>21</v>
      </c>
      <c r="B11" s="41"/>
      <c r="C11" s="19"/>
      <c r="D11" s="197"/>
      <c r="E11" s="213"/>
      <c r="F11" s="41" t="s">
        <v>222</v>
      </c>
      <c r="G11" s="19">
        <f>334734+1977-29600</f>
        <v>307111</v>
      </c>
      <c r="H11" s="197">
        <f>332238+23584</f>
        <v>355822</v>
      </c>
      <c r="I11" s="213">
        <f>355822+258130</f>
        <v>613952</v>
      </c>
    </row>
    <row r="12" spans="1:9" ht="12" customHeight="1">
      <c r="A12" s="13" t="s">
        <v>23</v>
      </c>
      <c r="B12" s="41"/>
      <c r="C12" s="19"/>
      <c r="D12" s="197"/>
      <c r="E12" s="213"/>
      <c r="F12" s="41" t="s">
        <v>223</v>
      </c>
      <c r="G12" s="19">
        <v>362040</v>
      </c>
      <c r="H12" s="197">
        <v>362730</v>
      </c>
      <c r="I12" s="213">
        <f>362730+680</f>
        <v>363410</v>
      </c>
    </row>
    <row r="13" spans="1:9" ht="12" customHeight="1">
      <c r="A13" s="13" t="s">
        <v>25</v>
      </c>
      <c r="B13" s="41"/>
      <c r="C13" s="19"/>
      <c r="D13" s="197"/>
      <c r="E13" s="213"/>
      <c r="F13" s="41" t="s">
        <v>224</v>
      </c>
      <c r="G13" s="19"/>
      <c r="H13" s="197"/>
      <c r="I13" s="213"/>
    </row>
    <row r="14" spans="1:9" ht="12" customHeight="1">
      <c r="A14" s="13" t="s">
        <v>27</v>
      </c>
      <c r="B14" s="41"/>
      <c r="C14" s="19"/>
      <c r="D14" s="197"/>
      <c r="E14" s="213"/>
      <c r="F14" s="41" t="s">
        <v>225</v>
      </c>
      <c r="G14" s="19"/>
      <c r="H14" s="197"/>
      <c r="I14" s="213"/>
    </row>
    <row r="15" spans="1:9" ht="12" customHeight="1">
      <c r="A15" s="13" t="s">
        <v>29</v>
      </c>
      <c r="B15" s="41"/>
      <c r="C15" s="19"/>
      <c r="D15" s="197"/>
      <c r="E15" s="213"/>
      <c r="F15" s="41" t="s">
        <v>226</v>
      </c>
      <c r="G15" s="19"/>
      <c r="H15" s="197"/>
      <c r="I15" s="213"/>
    </row>
    <row r="16" spans="1:9" ht="12" customHeight="1" thickBot="1">
      <c r="A16" s="13" t="s">
        <v>31</v>
      </c>
      <c r="B16" s="63"/>
      <c r="C16" s="42"/>
      <c r="D16" s="198"/>
      <c r="E16" s="214"/>
      <c r="F16" s="63" t="s">
        <v>227</v>
      </c>
      <c r="G16" s="42">
        <f>22436-9861-2342+50850</f>
        <v>61083</v>
      </c>
      <c r="H16" s="198">
        <f>40083+148636</f>
        <v>188719</v>
      </c>
      <c r="I16" s="214">
        <f>40083+148636-150409</f>
        <v>38310</v>
      </c>
    </row>
    <row r="17" spans="1:9" ht="22.5" customHeight="1" thickBot="1">
      <c r="A17" s="13" t="s">
        <v>32</v>
      </c>
      <c r="B17" s="65" t="s">
        <v>228</v>
      </c>
      <c r="C17" s="66">
        <f>SUM(C5:C16)</f>
        <v>2968701</v>
      </c>
      <c r="D17" s="199">
        <f>SUM(D5:D16)</f>
        <v>2925758</v>
      </c>
      <c r="E17" s="215">
        <f>SUM(E5:E16)</f>
        <v>2836805</v>
      </c>
      <c r="F17" s="68" t="s">
        <v>229</v>
      </c>
      <c r="G17" s="66">
        <f>SUM(G5:G16)</f>
        <v>3073511</v>
      </c>
      <c r="H17" s="199">
        <f>SUM(H5:H16)</f>
        <v>3243556</v>
      </c>
      <c r="I17" s="215">
        <f>SUM(I5:I16)</f>
        <v>3149337</v>
      </c>
    </row>
    <row r="18" spans="1:9" ht="21.75" customHeight="1">
      <c r="A18" s="13" t="s">
        <v>34</v>
      </c>
      <c r="B18" s="69" t="s">
        <v>230</v>
      </c>
      <c r="C18" s="15">
        <v>200000</v>
      </c>
      <c r="D18" s="200">
        <v>412535</v>
      </c>
      <c r="E18" s="216">
        <f>412535-5187</f>
        <v>407348</v>
      </c>
      <c r="F18" s="59" t="s">
        <v>231</v>
      </c>
      <c r="G18" s="60">
        <f>146040-50850</f>
        <v>95190</v>
      </c>
      <c r="H18" s="60">
        <f>146040-50850</f>
        <v>95190</v>
      </c>
      <c r="I18" s="61">
        <f>146040-50850</f>
        <v>95190</v>
      </c>
    </row>
    <row r="19" spans="1:9" ht="12" customHeight="1">
      <c r="A19" s="13" t="s">
        <v>36</v>
      </c>
      <c r="B19" s="71" t="s">
        <v>232</v>
      </c>
      <c r="C19" s="17"/>
      <c r="D19" s="201"/>
      <c r="E19" s="217"/>
      <c r="F19" s="41" t="s">
        <v>233</v>
      </c>
      <c r="G19" s="19"/>
      <c r="H19" s="19"/>
      <c r="I19" s="62"/>
    </row>
    <row r="20" spans="1:9" ht="12" customHeight="1">
      <c r="A20" s="13" t="s">
        <v>38</v>
      </c>
      <c r="B20" s="41" t="s">
        <v>234</v>
      </c>
      <c r="C20" s="19"/>
      <c r="D20" s="197"/>
      <c r="E20" s="213"/>
      <c r="F20" s="41" t="s">
        <v>235</v>
      </c>
      <c r="G20" s="73"/>
      <c r="H20" s="73"/>
      <c r="I20" s="74"/>
    </row>
    <row r="21" spans="1:9" ht="12" customHeight="1">
      <c r="A21" s="13" t="s">
        <v>40</v>
      </c>
      <c r="B21" s="41" t="s">
        <v>236</v>
      </c>
      <c r="C21" s="19"/>
      <c r="D21" s="197"/>
      <c r="E21" s="213"/>
      <c r="F21" s="41" t="s">
        <v>237</v>
      </c>
      <c r="G21" s="17"/>
      <c r="H21" s="17"/>
      <c r="I21" s="72"/>
    </row>
    <row r="22" spans="1:9" ht="12" customHeight="1">
      <c r="A22" s="13" t="s">
        <v>42</v>
      </c>
      <c r="B22" s="41" t="s">
        <v>238</v>
      </c>
      <c r="C22" s="19"/>
      <c r="D22" s="197"/>
      <c r="E22" s="213"/>
      <c r="F22" s="41" t="s">
        <v>239</v>
      </c>
      <c r="G22" s="19"/>
      <c r="H22" s="19"/>
      <c r="I22" s="62"/>
    </row>
    <row r="23" spans="1:9" ht="12" customHeight="1">
      <c r="A23" s="13" t="s">
        <v>44</v>
      </c>
      <c r="B23" s="41" t="s">
        <v>240</v>
      </c>
      <c r="C23" s="19"/>
      <c r="D23" s="197"/>
      <c r="E23" s="213"/>
      <c r="F23" s="41" t="s">
        <v>241</v>
      </c>
      <c r="G23" s="19"/>
      <c r="H23" s="19"/>
      <c r="I23" s="62"/>
    </row>
    <row r="24" spans="1:9" ht="12" customHeight="1">
      <c r="A24" s="13" t="s">
        <v>46</v>
      </c>
      <c r="B24" s="41" t="s">
        <v>242</v>
      </c>
      <c r="C24" s="19"/>
      <c r="D24" s="197"/>
      <c r="E24" s="213"/>
      <c r="F24" s="41" t="s">
        <v>243</v>
      </c>
      <c r="G24" s="19"/>
      <c r="H24" s="19"/>
      <c r="I24" s="62"/>
    </row>
    <row r="25" spans="1:9" ht="12" customHeight="1">
      <c r="A25" s="13" t="s">
        <v>48</v>
      </c>
      <c r="B25" s="41" t="s">
        <v>244</v>
      </c>
      <c r="C25" s="19"/>
      <c r="D25" s="197"/>
      <c r="E25" s="213"/>
      <c r="F25" s="41" t="s">
        <v>245</v>
      </c>
      <c r="G25" s="17"/>
      <c r="H25" s="204"/>
      <c r="I25" s="220"/>
    </row>
    <row r="26" spans="1:9" ht="12" customHeight="1">
      <c r="A26" s="13" t="s">
        <v>50</v>
      </c>
      <c r="B26" s="41" t="s">
        <v>246</v>
      </c>
      <c r="C26" s="17"/>
      <c r="D26" s="201"/>
      <c r="E26" s="217"/>
      <c r="F26" s="41"/>
      <c r="G26" s="17"/>
      <c r="H26" s="17"/>
      <c r="I26" s="72"/>
    </row>
    <row r="27" spans="1:9" ht="12" customHeight="1">
      <c r="A27" s="13" t="s">
        <v>52</v>
      </c>
      <c r="B27" s="41" t="s">
        <v>247</v>
      </c>
      <c r="C27" s="19"/>
      <c r="D27" s="197"/>
      <c r="E27" s="213"/>
      <c r="F27" s="41"/>
      <c r="G27" s="19"/>
      <c r="H27" s="197"/>
      <c r="I27" s="213"/>
    </row>
    <row r="28" spans="1:9" ht="12" customHeight="1" thickBot="1">
      <c r="A28" s="13" t="s">
        <v>54</v>
      </c>
      <c r="B28" s="63"/>
      <c r="C28" s="42"/>
      <c r="D28" s="198"/>
      <c r="E28" s="214"/>
      <c r="F28" s="63"/>
      <c r="G28" s="25"/>
      <c r="H28" s="205"/>
      <c r="I28" s="221"/>
    </row>
    <row r="29" spans="1:9" ht="22.5" customHeight="1" thickBot="1">
      <c r="A29" s="13" t="s">
        <v>56</v>
      </c>
      <c r="B29" s="65" t="s">
        <v>248</v>
      </c>
      <c r="C29" s="66">
        <f>SUM(C20:C28)</f>
        <v>0</v>
      </c>
      <c r="D29" s="199">
        <f>SUM(D20:D28)</f>
        <v>0</v>
      </c>
      <c r="E29" s="215">
        <f>SUM(E20:E28)</f>
        <v>0</v>
      </c>
      <c r="F29" s="65" t="s">
        <v>249</v>
      </c>
      <c r="G29" s="66">
        <f>SUM(G18:G28)</f>
        <v>95190</v>
      </c>
      <c r="H29" s="199">
        <f>SUM(H18:H28)</f>
        <v>95190</v>
      </c>
      <c r="I29" s="215">
        <f>SUM(I18:I28)</f>
        <v>95190</v>
      </c>
    </row>
    <row r="30" spans="1:9" s="23" customFormat="1" ht="22.5" customHeight="1" thickBot="1">
      <c r="A30" s="13" t="s">
        <v>58</v>
      </c>
      <c r="B30" s="75" t="s">
        <v>250</v>
      </c>
      <c r="C30" s="76">
        <f>SUM(C17+C18+C19+C29)</f>
        <v>3168701</v>
      </c>
      <c r="D30" s="202">
        <f>SUM(D17+D18+D19+D29)</f>
        <v>3338293</v>
      </c>
      <c r="E30" s="218">
        <f>SUM(E17+E18+E19+E29)</f>
        <v>3244153</v>
      </c>
      <c r="F30" s="75" t="s">
        <v>251</v>
      </c>
      <c r="G30" s="76">
        <f>SUM(G17+G29)</f>
        <v>3168701</v>
      </c>
      <c r="H30" s="202">
        <f>SUM(H17+H29)</f>
        <v>3338746</v>
      </c>
      <c r="I30" s="218">
        <f>SUM(I17+I29)</f>
        <v>3244527</v>
      </c>
    </row>
    <row r="31" spans="1:9" ht="16.5" customHeight="1" thickBot="1">
      <c r="A31" s="30" t="s">
        <v>60</v>
      </c>
      <c r="B31" s="78" t="s">
        <v>252</v>
      </c>
      <c r="C31" s="66">
        <f>SUM(G17-C17)</f>
        <v>104810</v>
      </c>
      <c r="D31" s="66">
        <f>SUM(H17-D17)</f>
        <v>317798</v>
      </c>
      <c r="E31" s="66">
        <f>SUM(I17-E17)</f>
        <v>312532</v>
      </c>
      <c r="F31" s="78" t="s">
        <v>253</v>
      </c>
      <c r="G31" s="66"/>
      <c r="H31" s="199"/>
      <c r="I31" s="215"/>
    </row>
    <row r="32" spans="1:9" ht="12.75" customHeight="1">
      <c r="A32" s="79"/>
      <c r="B32" s="80"/>
      <c r="C32" s="81"/>
      <c r="D32" s="81"/>
      <c r="E32" s="81"/>
      <c r="F32" s="82"/>
      <c r="G32" s="81"/>
      <c r="H32" s="81"/>
      <c r="I32" s="81"/>
    </row>
    <row r="33" spans="1:9" ht="12.75" customHeight="1">
      <c r="A33" s="79"/>
      <c r="B33" s="80"/>
      <c r="C33" s="81"/>
      <c r="D33" s="81"/>
      <c r="E33" s="81"/>
      <c r="F33" s="82"/>
      <c r="G33" s="81"/>
      <c r="H33" s="81"/>
      <c r="I33" s="81"/>
    </row>
    <row r="34" spans="1:9" ht="12.75" customHeight="1">
      <c r="A34" s="79"/>
      <c r="B34" s="80"/>
      <c r="C34" s="81"/>
      <c r="D34" s="81"/>
      <c r="E34" s="81"/>
      <c r="F34" s="82"/>
      <c r="G34" s="81"/>
      <c r="H34" s="81"/>
      <c r="I34" s="81"/>
    </row>
    <row r="35" spans="1:9" ht="12.75" customHeight="1">
      <c r="A35" s="79"/>
      <c r="B35" s="80"/>
      <c r="C35" s="81"/>
      <c r="D35" s="81"/>
      <c r="E35" s="81"/>
      <c r="F35" s="82"/>
      <c r="G35" s="81"/>
      <c r="H35" s="81"/>
      <c r="I35" s="81"/>
    </row>
    <row r="36" spans="1:9" ht="12.75" customHeight="1">
      <c r="A36" s="79"/>
      <c r="B36" s="80"/>
      <c r="C36" s="81"/>
      <c r="D36" s="81"/>
      <c r="E36" s="81"/>
      <c r="F36" s="82"/>
      <c r="G36" s="81"/>
      <c r="H36" s="81"/>
      <c r="I36" s="81"/>
    </row>
    <row r="37" spans="1:9" ht="12.75" customHeight="1">
      <c r="A37" s="79"/>
      <c r="B37" s="80"/>
      <c r="C37" s="81"/>
      <c r="D37" s="81"/>
      <c r="E37" s="81"/>
      <c r="F37" s="82"/>
      <c r="G37" s="81"/>
      <c r="H37" s="81"/>
      <c r="I37" s="81"/>
    </row>
    <row r="38" spans="1:9" ht="12.75" customHeight="1">
      <c r="A38" s="79"/>
      <c r="B38" s="80"/>
      <c r="C38" s="81"/>
      <c r="D38" s="81"/>
      <c r="E38" s="81"/>
      <c r="F38" s="82"/>
      <c r="G38" s="81"/>
      <c r="H38" s="81"/>
      <c r="I38" s="81"/>
    </row>
    <row r="39" spans="1:9" ht="12.75" customHeight="1">
      <c r="A39" s="79"/>
      <c r="B39" s="80"/>
      <c r="C39" s="81"/>
      <c r="D39" s="81"/>
      <c r="E39" s="81"/>
      <c r="F39" s="82"/>
      <c r="G39" s="81"/>
      <c r="H39" s="81"/>
      <c r="I39" s="81"/>
    </row>
    <row r="40" spans="1:9" ht="12.75" customHeight="1">
      <c r="A40" s="79"/>
      <c r="B40" s="80"/>
      <c r="C40" s="81"/>
      <c r="D40" s="81"/>
      <c r="E40" s="81"/>
      <c r="F40" s="82"/>
      <c r="G40" s="81"/>
      <c r="H40" s="81"/>
      <c r="I40" s="81"/>
    </row>
    <row r="41" spans="1:9" ht="12" customHeight="1">
      <c r="A41" s="79"/>
      <c r="B41" s="80"/>
      <c r="C41" s="81"/>
      <c r="D41" s="81"/>
      <c r="E41" s="81"/>
      <c r="F41" s="82"/>
      <c r="G41" s="81"/>
      <c r="H41" s="81"/>
      <c r="I41" s="81"/>
    </row>
    <row r="42" spans="1:9" ht="12" customHeight="1">
      <c r="A42" s="79"/>
      <c r="B42" s="80"/>
      <c r="C42" s="81"/>
      <c r="D42" s="81"/>
      <c r="E42" s="81"/>
      <c r="F42" s="82"/>
      <c r="G42" s="81"/>
      <c r="H42" s="81"/>
      <c r="I42" s="81"/>
    </row>
    <row r="43" spans="1:9" ht="12" customHeight="1">
      <c r="A43" s="79"/>
      <c r="B43" s="80"/>
      <c r="C43" s="81"/>
      <c r="D43" s="81"/>
      <c r="E43" s="81"/>
      <c r="F43" s="82"/>
      <c r="G43" s="81"/>
      <c r="H43" s="81"/>
      <c r="I43" s="81"/>
    </row>
    <row r="44" spans="1:9" ht="12" customHeight="1">
      <c r="A44" s="79"/>
      <c r="B44" s="80"/>
      <c r="C44" s="83"/>
      <c r="D44" s="83"/>
      <c r="E44" s="83"/>
      <c r="F44" s="82"/>
      <c r="G44" s="81"/>
      <c r="H44" s="81"/>
      <c r="I44" s="81"/>
    </row>
    <row r="45" spans="1:9" ht="12" customHeight="1">
      <c r="A45" s="79"/>
      <c r="B45" s="80"/>
      <c r="C45" s="83"/>
      <c r="D45" s="83"/>
      <c r="E45" s="83"/>
      <c r="F45" s="82"/>
      <c r="G45" s="81"/>
      <c r="H45" s="81"/>
      <c r="I45" s="81"/>
    </row>
  </sheetData>
  <mergeCells count="1">
    <mergeCell ref="F2:G2"/>
  </mergeCells>
  <printOptions horizontalCentered="1" verticalCentered="1"/>
  <pageMargins left="0.3937007874015748" right="0.3937007874015748" top="0.7874015748031497" bottom="0.4724409448818898" header="0.5905511811023623" footer="0.07874015748031496"/>
  <pageSetup horizontalDpi="600" verticalDpi="600" orientation="landscape" scale="95" r:id="rId1"/>
  <headerFooter alignWithMargins="0">
    <oddHeader>&amp;L&amp;8  2. melléklet a …/…..(….) önkormányzati rendelethez&amp;C&amp;"Arial CE,Félkövér"&amp;11
Működési célú  bevételek és kiadások mérlege&amp;R&amp;9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E42" sqref="E42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5" width="9.375" style="0" customWidth="1"/>
    <col min="6" max="6" width="33.25390625" style="0" customWidth="1"/>
    <col min="7" max="7" width="9.25390625" style="0" customWidth="1"/>
    <col min="8" max="8" width="9.75390625" style="0" customWidth="1"/>
    <col min="9" max="9" width="9.25390625" style="0" customWidth="1"/>
  </cols>
  <sheetData>
    <row r="1" spans="6:9" ht="13.5" thickBot="1">
      <c r="F1" s="379" t="s">
        <v>206</v>
      </c>
      <c r="G1" s="379"/>
      <c r="H1" s="54"/>
      <c r="I1" s="54"/>
    </row>
    <row r="2" spans="1:9" ht="13.5" thickBot="1">
      <c r="A2" s="84"/>
      <c r="B2" s="55" t="s">
        <v>1</v>
      </c>
      <c r="C2" s="56" t="s">
        <v>2</v>
      </c>
      <c r="D2" s="56" t="s">
        <v>3</v>
      </c>
      <c r="E2" s="57" t="s">
        <v>4</v>
      </c>
      <c r="F2" s="224" t="s">
        <v>403</v>
      </c>
      <c r="G2" s="225" t="s">
        <v>6</v>
      </c>
      <c r="H2" s="225" t="s">
        <v>282</v>
      </c>
      <c r="I2" s="226" t="s">
        <v>283</v>
      </c>
    </row>
    <row r="3" spans="1:9" s="223" customFormat="1" ht="34.5" thickBot="1">
      <c r="A3" s="222"/>
      <c r="B3" s="209" t="s">
        <v>207</v>
      </c>
      <c r="C3" s="210" t="s">
        <v>208</v>
      </c>
      <c r="D3" s="9" t="s">
        <v>473</v>
      </c>
      <c r="E3" s="58" t="s">
        <v>402</v>
      </c>
      <c r="F3" s="211" t="s">
        <v>209</v>
      </c>
      <c r="G3" s="210" t="s">
        <v>8</v>
      </c>
      <c r="H3" s="9" t="s">
        <v>473</v>
      </c>
      <c r="I3" s="58" t="s">
        <v>402</v>
      </c>
    </row>
    <row r="4" spans="1:9" ht="12.75" customHeight="1">
      <c r="A4" s="85" t="s">
        <v>9</v>
      </c>
      <c r="B4" s="59" t="s">
        <v>254</v>
      </c>
      <c r="C4" s="60">
        <f>10000+9000</f>
        <v>19000</v>
      </c>
      <c r="D4" s="60">
        <v>19000</v>
      </c>
      <c r="E4" s="61">
        <v>19000</v>
      </c>
      <c r="F4" s="59" t="s">
        <v>255</v>
      </c>
      <c r="G4" s="60">
        <f>1535839+3000</f>
        <v>1538839</v>
      </c>
      <c r="H4" s="60">
        <f>1538839+2000+12373+250</f>
        <v>1553462</v>
      </c>
      <c r="I4" s="61">
        <f>1538839+2000+12373+250+428739</f>
        <v>1982201</v>
      </c>
    </row>
    <row r="5" spans="1:9" ht="12.75" customHeight="1">
      <c r="A5" s="85" t="s">
        <v>11</v>
      </c>
      <c r="B5" s="41" t="s">
        <v>256</v>
      </c>
      <c r="C5" s="19">
        <v>6860</v>
      </c>
      <c r="D5" s="19">
        <v>6860</v>
      </c>
      <c r="E5" s="62">
        <v>6860</v>
      </c>
      <c r="F5" s="41" t="s">
        <v>257</v>
      </c>
      <c r="G5" s="19">
        <f>215144-3000</f>
        <v>212144</v>
      </c>
      <c r="H5" s="19">
        <v>216502</v>
      </c>
      <c r="I5" s="62">
        <f>216502-12414</f>
        <v>204088</v>
      </c>
    </row>
    <row r="6" spans="1:9" ht="12.75">
      <c r="A6" s="85" t="s">
        <v>13</v>
      </c>
      <c r="B6" s="41" t="s">
        <v>258</v>
      </c>
      <c r="C6" s="19"/>
      <c r="D6" s="19"/>
      <c r="E6" s="62"/>
      <c r="F6" s="41" t="s">
        <v>259</v>
      </c>
      <c r="G6" s="19"/>
      <c r="H6" s="19"/>
      <c r="I6" s="62">
        <v>28242</v>
      </c>
    </row>
    <row r="7" spans="1:9" ht="12.75">
      <c r="A7" s="85" t="s">
        <v>15</v>
      </c>
      <c r="B7" s="18" t="s">
        <v>260</v>
      </c>
      <c r="C7" s="19">
        <v>70000</v>
      </c>
      <c r="D7" s="19">
        <v>70000</v>
      </c>
      <c r="E7" s="62">
        <v>70000</v>
      </c>
      <c r="F7" s="41" t="s">
        <v>261</v>
      </c>
      <c r="G7" s="19"/>
      <c r="H7" s="19"/>
      <c r="I7" s="62"/>
    </row>
    <row r="8" spans="1:9" ht="12.75">
      <c r="A8" s="85" t="s">
        <v>17</v>
      </c>
      <c r="B8" s="41" t="s">
        <v>262</v>
      </c>
      <c r="C8" s="19"/>
      <c r="D8" s="19"/>
      <c r="E8" s="62"/>
      <c r="F8" s="41" t="s">
        <v>263</v>
      </c>
      <c r="G8" s="19"/>
      <c r="H8" s="19">
        <v>500</v>
      </c>
      <c r="I8" s="62">
        <v>500</v>
      </c>
    </row>
    <row r="9" spans="1:9" ht="12.75">
      <c r="A9" s="85" t="s">
        <v>19</v>
      </c>
      <c r="B9" s="41" t="s">
        <v>264</v>
      </c>
      <c r="C9" s="19"/>
      <c r="D9" s="19"/>
      <c r="E9" s="62"/>
      <c r="F9" s="41" t="s">
        <v>227</v>
      </c>
      <c r="G9" s="19">
        <v>714070</v>
      </c>
      <c r="H9" s="19">
        <f>1025127-250+10000</f>
        <v>1034877</v>
      </c>
      <c r="I9" s="62">
        <f>1025127-250+10000-39395</f>
        <v>995482</v>
      </c>
    </row>
    <row r="10" spans="1:9" ht="12.75">
      <c r="A10" s="85" t="s">
        <v>21</v>
      </c>
      <c r="B10" s="41" t="s">
        <v>401</v>
      </c>
      <c r="C10" s="19"/>
      <c r="D10" s="19">
        <v>453</v>
      </c>
      <c r="E10" s="62">
        <v>453</v>
      </c>
      <c r="F10" s="41" t="s">
        <v>266</v>
      </c>
      <c r="G10" s="19">
        <v>187203</v>
      </c>
      <c r="H10" s="19">
        <v>187203</v>
      </c>
      <c r="I10" s="62">
        <v>187203</v>
      </c>
    </row>
    <row r="11" spans="1:9" ht="12.75" customHeight="1">
      <c r="A11" s="85" t="s">
        <v>23</v>
      </c>
      <c r="B11" s="41" t="s">
        <v>265</v>
      </c>
      <c r="C11" s="19">
        <f>2888+572</f>
        <v>3460</v>
      </c>
      <c r="D11" s="19">
        <v>3460</v>
      </c>
      <c r="E11" s="62">
        <f>3460+200-572</f>
        <v>3088</v>
      </c>
      <c r="F11" s="41" t="s">
        <v>267</v>
      </c>
      <c r="G11" s="19"/>
      <c r="H11" s="19"/>
      <c r="I11" s="62"/>
    </row>
    <row r="12" spans="1:9" ht="12.75" customHeight="1">
      <c r="A12" s="85" t="s">
        <v>25</v>
      </c>
      <c r="B12" s="41" t="s">
        <v>216</v>
      </c>
      <c r="C12" s="19">
        <f>13500-10000</f>
        <v>3500</v>
      </c>
      <c r="D12" s="19">
        <f>3500+12373</f>
        <v>15873</v>
      </c>
      <c r="E12" s="62">
        <f>3500+12373+507</f>
        <v>16380</v>
      </c>
      <c r="F12" s="41" t="s">
        <v>269</v>
      </c>
      <c r="G12" s="19">
        <v>70000</v>
      </c>
      <c r="H12" s="19">
        <v>70000</v>
      </c>
      <c r="I12" s="62">
        <v>70000</v>
      </c>
    </row>
    <row r="13" spans="1:9" ht="12.75">
      <c r="A13" s="85" t="s">
        <v>27</v>
      </c>
      <c r="B13" s="41" t="s">
        <v>268</v>
      </c>
      <c r="C13" s="19">
        <f>1561358+51578</f>
        <v>1612936</v>
      </c>
      <c r="D13" s="19">
        <v>1612936</v>
      </c>
      <c r="E13" s="62">
        <f>1612936+409888</f>
        <v>2022824</v>
      </c>
      <c r="F13" s="41" t="s">
        <v>271</v>
      </c>
      <c r="G13" s="19"/>
      <c r="H13" s="19"/>
      <c r="I13" s="62"/>
    </row>
    <row r="14" spans="1:9" ht="12.75" customHeight="1">
      <c r="A14" s="85" t="s">
        <v>29</v>
      </c>
      <c r="B14" s="41" t="s">
        <v>270</v>
      </c>
      <c r="C14" s="19">
        <v>6500</v>
      </c>
      <c r="D14" s="19">
        <v>6500</v>
      </c>
      <c r="E14" s="62">
        <v>6500</v>
      </c>
      <c r="F14" s="182"/>
      <c r="G14" s="206"/>
      <c r="H14" s="206"/>
      <c r="I14" s="207"/>
    </row>
    <row r="15" spans="1:9" ht="12.75" customHeight="1" thickBot="1">
      <c r="A15" s="85" t="s">
        <v>31</v>
      </c>
      <c r="B15" s="63" t="s">
        <v>272</v>
      </c>
      <c r="C15" s="42"/>
      <c r="D15" s="42"/>
      <c r="E15" s="64"/>
      <c r="F15" s="63"/>
      <c r="G15" s="42"/>
      <c r="H15" s="42"/>
      <c r="I15" s="64"/>
    </row>
    <row r="16" spans="1:9" ht="22.5" customHeight="1" thickBot="1">
      <c r="A16" s="85" t="s">
        <v>32</v>
      </c>
      <c r="B16" s="65" t="s">
        <v>228</v>
      </c>
      <c r="C16" s="66">
        <f>SUM(C4:C15)</f>
        <v>1722256</v>
      </c>
      <c r="D16" s="66">
        <f>SUM(D4:D15)</f>
        <v>1735082</v>
      </c>
      <c r="E16" s="67">
        <f>SUM(E4:E15)</f>
        <v>2145105</v>
      </c>
      <c r="F16" s="65" t="s">
        <v>229</v>
      </c>
      <c r="G16" s="66">
        <f>SUM(G4:G13)</f>
        <v>2722256</v>
      </c>
      <c r="H16" s="66">
        <f>SUM(H4:H13)</f>
        <v>3062544</v>
      </c>
      <c r="I16" s="67">
        <f>SUM(I4:I13)</f>
        <v>3467716</v>
      </c>
    </row>
    <row r="17" spans="1:9" ht="12.75">
      <c r="A17" s="85" t="s">
        <v>34</v>
      </c>
      <c r="B17" s="69" t="s">
        <v>273</v>
      </c>
      <c r="C17" s="15">
        <v>1000000</v>
      </c>
      <c r="D17" s="15">
        <f>1317915+10000</f>
        <v>1327915</v>
      </c>
      <c r="E17" s="70">
        <f>1317915+10000-4358</f>
        <v>1323557</v>
      </c>
      <c r="F17" s="59" t="s">
        <v>231</v>
      </c>
      <c r="G17" s="60"/>
      <c r="H17" s="60"/>
      <c r="I17" s="61"/>
    </row>
    <row r="18" spans="1:9" ht="12.75">
      <c r="A18" s="85" t="s">
        <v>36</v>
      </c>
      <c r="B18" s="41" t="s">
        <v>274</v>
      </c>
      <c r="C18" s="73"/>
      <c r="D18" s="73"/>
      <c r="E18" s="74"/>
      <c r="F18" s="41" t="s">
        <v>233</v>
      </c>
      <c r="G18" s="19"/>
      <c r="H18" s="19"/>
      <c r="I18" s="62"/>
    </row>
    <row r="19" spans="1:9" ht="12.75">
      <c r="A19" s="85" t="s">
        <v>38</v>
      </c>
      <c r="B19" s="41" t="s">
        <v>236</v>
      </c>
      <c r="C19" s="19"/>
      <c r="D19" s="19"/>
      <c r="E19" s="62"/>
      <c r="F19" s="41" t="s">
        <v>235</v>
      </c>
      <c r="G19" s="19"/>
      <c r="H19" s="19"/>
      <c r="I19" s="62"/>
    </row>
    <row r="20" spans="1:9" ht="12.75" customHeight="1">
      <c r="A20" s="85" t="s">
        <v>40</v>
      </c>
      <c r="B20" s="41" t="s">
        <v>238</v>
      </c>
      <c r="C20" s="19"/>
      <c r="D20" s="19"/>
      <c r="E20" s="62"/>
      <c r="F20" s="41" t="s">
        <v>275</v>
      </c>
      <c r="G20" s="19"/>
      <c r="H20" s="19"/>
      <c r="I20" s="62"/>
    </row>
    <row r="21" spans="1:9" ht="12.75" customHeight="1">
      <c r="A21" s="85" t="s">
        <v>42</v>
      </c>
      <c r="B21" s="41" t="s">
        <v>276</v>
      </c>
      <c r="C21" s="19"/>
      <c r="D21" s="19"/>
      <c r="E21" s="62"/>
      <c r="F21" s="41" t="s">
        <v>237</v>
      </c>
      <c r="G21" s="19"/>
      <c r="H21" s="19"/>
      <c r="I21" s="62"/>
    </row>
    <row r="22" spans="1:9" ht="12.75" customHeight="1">
      <c r="A22" s="85" t="s">
        <v>44</v>
      </c>
      <c r="B22" s="41" t="s">
        <v>242</v>
      </c>
      <c r="C22" s="19"/>
      <c r="D22" s="19"/>
      <c r="E22" s="62"/>
      <c r="F22" s="41" t="s">
        <v>239</v>
      </c>
      <c r="G22" s="19"/>
      <c r="H22" s="19"/>
      <c r="I22" s="62"/>
    </row>
    <row r="23" spans="1:9" ht="12.75" customHeight="1">
      <c r="A23" s="85" t="s">
        <v>46</v>
      </c>
      <c r="B23" s="41" t="s">
        <v>244</v>
      </c>
      <c r="C23" s="19"/>
      <c r="D23" s="19"/>
      <c r="E23" s="62"/>
      <c r="F23" s="41" t="s">
        <v>241</v>
      </c>
      <c r="G23" s="19"/>
      <c r="H23" s="19"/>
      <c r="I23" s="62"/>
    </row>
    <row r="24" spans="1:9" ht="12.75" customHeight="1">
      <c r="A24" s="85" t="s">
        <v>48</v>
      </c>
      <c r="B24" s="41" t="s">
        <v>246</v>
      </c>
      <c r="C24" s="19"/>
      <c r="D24" s="19"/>
      <c r="E24" s="62"/>
      <c r="F24" s="41" t="s">
        <v>243</v>
      </c>
      <c r="G24" s="19"/>
      <c r="H24" s="19"/>
      <c r="I24" s="62"/>
    </row>
    <row r="25" spans="1:9" ht="12.75">
      <c r="A25" s="85" t="s">
        <v>50</v>
      </c>
      <c r="B25" s="41" t="s">
        <v>247</v>
      </c>
      <c r="C25" s="19"/>
      <c r="D25" s="19"/>
      <c r="E25" s="62"/>
      <c r="F25" s="41" t="s">
        <v>245</v>
      </c>
      <c r="G25" s="19"/>
      <c r="H25" s="19"/>
      <c r="I25" s="62"/>
    </row>
    <row r="26" spans="1:9" ht="12.75" customHeight="1" thickBot="1">
      <c r="A26" s="85" t="s">
        <v>52</v>
      </c>
      <c r="B26" s="63"/>
      <c r="C26" s="42"/>
      <c r="D26" s="42"/>
      <c r="E26" s="64"/>
      <c r="F26" s="63"/>
      <c r="G26" s="42"/>
      <c r="H26" s="42"/>
      <c r="I26" s="64"/>
    </row>
    <row r="27" spans="1:9" ht="22.5" customHeight="1" thickBot="1">
      <c r="A27" s="85" t="s">
        <v>54</v>
      </c>
      <c r="B27" s="65" t="s">
        <v>277</v>
      </c>
      <c r="C27" s="66">
        <f>SUM(C18:C26)</f>
        <v>0</v>
      </c>
      <c r="D27" s="66">
        <f>SUM(D18:D26)</f>
        <v>0</v>
      </c>
      <c r="E27" s="67">
        <f>SUM(E18:E26)</f>
        <v>0</v>
      </c>
      <c r="F27" s="65" t="s">
        <v>278</v>
      </c>
      <c r="G27" s="66">
        <f>SUM(G17:G26)</f>
        <v>0</v>
      </c>
      <c r="H27" s="66">
        <f>SUM(H17:H26)</f>
        <v>0</v>
      </c>
      <c r="I27" s="67">
        <f>SUM(I17:I26)</f>
        <v>0</v>
      </c>
    </row>
    <row r="28" spans="1:9" ht="22.5" customHeight="1" thickBot="1">
      <c r="A28" s="85" t="s">
        <v>56</v>
      </c>
      <c r="B28" s="86" t="s">
        <v>279</v>
      </c>
      <c r="C28" s="76">
        <f>SUM(C27+C17+C16)</f>
        <v>2722256</v>
      </c>
      <c r="D28" s="76">
        <f>SUM(D27+D17+D16)</f>
        <v>3062997</v>
      </c>
      <c r="E28" s="77">
        <f>SUM(E27+E17+E16)</f>
        <v>3468662</v>
      </c>
      <c r="F28" s="86" t="s">
        <v>280</v>
      </c>
      <c r="G28" s="76">
        <f>SUM(G27,G16)</f>
        <v>2722256</v>
      </c>
      <c r="H28" s="76">
        <f>SUM(H27,H16)</f>
        <v>3062544</v>
      </c>
      <c r="I28" s="77">
        <f>SUM(I27,I16)</f>
        <v>3467716</v>
      </c>
    </row>
    <row r="29" spans="1:9" ht="16.5" customHeight="1" thickBot="1">
      <c r="A29" s="85" t="s">
        <v>58</v>
      </c>
      <c r="B29" s="78" t="s">
        <v>252</v>
      </c>
      <c r="C29" s="66">
        <f>SUM(G16-C16)</f>
        <v>1000000</v>
      </c>
      <c r="D29" s="66">
        <f>SUM(H16-D16)</f>
        <v>1327462</v>
      </c>
      <c r="E29" s="67">
        <f>SUM(I16-E16)</f>
        <v>1322611</v>
      </c>
      <c r="F29" s="78" t="s">
        <v>253</v>
      </c>
      <c r="G29" s="66"/>
      <c r="H29" s="66"/>
      <c r="I29" s="67"/>
    </row>
    <row r="30" spans="2:9" ht="12.75">
      <c r="B30" s="80"/>
      <c r="C30" s="83"/>
      <c r="D30" s="83"/>
      <c r="E30" s="83"/>
      <c r="F30" s="80"/>
      <c r="G30" s="81"/>
      <c r="H30" s="81"/>
      <c r="I30" s="81"/>
    </row>
    <row r="31" spans="2:9" ht="12.75">
      <c r="B31" s="80"/>
      <c r="C31" s="83"/>
      <c r="D31" s="83"/>
      <c r="E31" s="83"/>
      <c r="G31" s="81"/>
      <c r="H31" s="81"/>
      <c r="I31" s="81"/>
    </row>
    <row r="32" spans="2:9" ht="12.75">
      <c r="B32" s="80"/>
      <c r="C32" s="83"/>
      <c r="D32" s="83"/>
      <c r="E32" s="83"/>
      <c r="F32" s="80"/>
      <c r="G32" s="81"/>
      <c r="H32" s="81"/>
      <c r="I32" s="81"/>
    </row>
    <row r="33" spans="2:5" ht="12.75">
      <c r="B33" s="80"/>
      <c r="C33" s="83"/>
      <c r="D33" s="83"/>
      <c r="E33" s="83"/>
    </row>
    <row r="34" spans="2:9" ht="12.75">
      <c r="B34" s="80"/>
      <c r="C34" s="83"/>
      <c r="D34" s="83"/>
      <c r="E34" s="83"/>
      <c r="F34" s="80"/>
      <c r="G34" s="81"/>
      <c r="H34" s="81"/>
      <c r="I34" s="81"/>
    </row>
    <row r="35" spans="2:9" ht="12.75">
      <c r="B35" s="80"/>
      <c r="C35" s="83"/>
      <c r="D35" s="83"/>
      <c r="E35" s="83"/>
      <c r="F35" s="80"/>
      <c r="G35" s="81"/>
      <c r="H35" s="81"/>
      <c r="I35" s="81"/>
    </row>
    <row r="36" spans="2:9" ht="12.75">
      <c r="B36" s="80"/>
      <c r="C36" s="83"/>
      <c r="D36" s="83"/>
      <c r="E36" s="83"/>
      <c r="F36" s="80"/>
      <c r="G36" s="81"/>
      <c r="H36" s="81"/>
      <c r="I36" s="81"/>
    </row>
    <row r="37" spans="2:9" ht="12.75">
      <c r="B37" s="80"/>
      <c r="C37" s="83"/>
      <c r="D37" s="83"/>
      <c r="E37" s="83"/>
      <c r="F37" s="80"/>
      <c r="G37" s="81"/>
      <c r="H37" s="81"/>
      <c r="I37" s="81"/>
    </row>
    <row r="38" spans="2:9" ht="12.75">
      <c r="B38" s="80"/>
      <c r="C38" s="83"/>
      <c r="D38" s="83"/>
      <c r="E38" s="83"/>
      <c r="F38" s="80"/>
      <c r="G38" s="81"/>
      <c r="H38" s="81"/>
      <c r="I38" s="81"/>
    </row>
    <row r="39" spans="2:9" ht="12.75">
      <c r="B39" s="80"/>
      <c r="C39" s="83"/>
      <c r="D39" s="83"/>
      <c r="E39" s="83"/>
      <c r="F39" s="80"/>
      <c r="G39" s="81"/>
      <c r="H39" s="81"/>
      <c r="I39" s="81"/>
    </row>
    <row r="40" spans="2:9" ht="12.75">
      <c r="B40" s="80"/>
      <c r="C40" s="83"/>
      <c r="D40" s="83"/>
      <c r="E40" s="83"/>
      <c r="F40" s="80"/>
      <c r="G40" s="81"/>
      <c r="H40" s="81"/>
      <c r="I40" s="81"/>
    </row>
  </sheetData>
  <mergeCells count="1">
    <mergeCell ref="F1:G1"/>
  </mergeCells>
  <printOptions horizontalCentered="1" verticalCentered="1"/>
  <pageMargins left="0.7874015748031497" right="0.7874015748031497" top="0.7874015748031497" bottom="0.1968503937007874" header="0.3937007874015748" footer="0.31496062992125984"/>
  <pageSetup horizontalDpi="300" verticalDpi="300" orientation="landscape" paperSize="9" r:id="rId1"/>
  <headerFooter alignWithMargins="0">
    <oddHeader>&amp;L&amp;8  3. melléklet a …/…..(….) önkormányzati rendelethez&amp;C&amp;"Arial CE,Félkövér"&amp;12
&amp;11Felhalmozási célú bevételek és kiadások mérlege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="85" zoomScaleNormal="85" workbookViewId="0" topLeftCell="A1">
      <selection activeCell="H9" sqref="H9"/>
    </sheetView>
  </sheetViews>
  <sheetFormatPr defaultColWidth="9.00390625" defaultRowHeight="12.75"/>
  <cols>
    <col min="1" max="1" width="3.625" style="87" bestFit="1" customWidth="1"/>
    <col min="2" max="2" width="17.625" style="87" customWidth="1"/>
    <col min="3" max="3" width="10.125" style="87" customWidth="1"/>
    <col min="4" max="4" width="10.00390625" style="87" customWidth="1"/>
    <col min="5" max="5" width="9.375" style="87" customWidth="1"/>
    <col min="6" max="7" width="10.375" style="87" customWidth="1"/>
    <col min="8" max="8" width="10.00390625" style="87" customWidth="1"/>
    <col min="9" max="9" width="10.375" style="87" customWidth="1"/>
    <col min="10" max="10" width="10.125" style="87" customWidth="1"/>
    <col min="11" max="11" width="11.25390625" style="87" customWidth="1"/>
    <col min="12" max="12" width="10.25390625" style="87" customWidth="1"/>
    <col min="13" max="13" width="10.00390625" style="87" customWidth="1"/>
    <col min="14" max="14" width="10.125" style="87" customWidth="1"/>
    <col min="15" max="18" width="11.25390625" style="87" bestFit="1" customWidth="1"/>
    <col min="19" max="19" width="11.125" style="87" customWidth="1"/>
    <col min="20" max="16384" width="9.125" style="87" customWidth="1"/>
  </cols>
  <sheetData>
    <row r="1" spans="16:19" ht="12.75" customHeight="1">
      <c r="P1" s="382"/>
      <c r="Q1" s="382"/>
      <c r="R1" s="382"/>
      <c r="S1" s="382"/>
    </row>
    <row r="4" spans="16:19" ht="12.75" customHeight="1">
      <c r="P4" s="380" t="s">
        <v>281</v>
      </c>
      <c r="Q4" s="380"/>
      <c r="R4" s="381"/>
      <c r="S4" s="381"/>
    </row>
    <row r="5" ht="13.5" thickBot="1"/>
    <row r="6" spans="1:18" ht="13.5" thickBot="1">
      <c r="A6" s="88"/>
      <c r="B6" s="89" t="s">
        <v>1</v>
      </c>
      <c r="C6" s="90" t="s">
        <v>2</v>
      </c>
      <c r="D6" s="90" t="s">
        <v>3</v>
      </c>
      <c r="E6" s="90" t="s">
        <v>4</v>
      </c>
      <c r="F6" s="90" t="s">
        <v>5</v>
      </c>
      <c r="G6" s="90" t="s">
        <v>6</v>
      </c>
      <c r="H6" s="90" t="s">
        <v>282</v>
      </c>
      <c r="I6" s="90" t="s">
        <v>283</v>
      </c>
      <c r="J6" s="90" t="s">
        <v>284</v>
      </c>
      <c r="K6" s="90" t="s">
        <v>285</v>
      </c>
      <c r="L6" s="90" t="s">
        <v>286</v>
      </c>
      <c r="M6" s="90" t="s">
        <v>287</v>
      </c>
      <c r="N6" s="90" t="s">
        <v>288</v>
      </c>
      <c r="O6" s="90" t="s">
        <v>289</v>
      </c>
      <c r="P6" s="90" t="s">
        <v>290</v>
      </c>
      <c r="Q6" s="91" t="s">
        <v>291</v>
      </c>
      <c r="R6" s="92" t="s">
        <v>292</v>
      </c>
    </row>
    <row r="7" spans="1:18" ht="18" customHeight="1" thickBot="1">
      <c r="A7" s="93"/>
      <c r="B7" s="94"/>
      <c r="C7" s="95" t="s">
        <v>293</v>
      </c>
      <c r="D7" s="95"/>
      <c r="E7" s="95"/>
      <c r="F7" s="95"/>
      <c r="G7" s="95"/>
      <c r="H7" s="95"/>
      <c r="I7" s="95"/>
      <c r="J7" s="96"/>
      <c r="K7" s="96" t="s">
        <v>294</v>
      </c>
      <c r="L7" s="96"/>
      <c r="M7" s="96"/>
      <c r="N7" s="96"/>
      <c r="O7" s="96"/>
      <c r="P7" s="96"/>
      <c r="Q7" s="96"/>
      <c r="R7" s="97"/>
    </row>
    <row r="8" spans="1:18" ht="62.25" customHeight="1" thickBot="1">
      <c r="A8" s="93"/>
      <c r="B8" s="98" t="s">
        <v>295</v>
      </c>
      <c r="C8" s="99" t="s">
        <v>296</v>
      </c>
      <c r="D8" s="100" t="s">
        <v>297</v>
      </c>
      <c r="E8" s="101" t="s">
        <v>298</v>
      </c>
      <c r="F8" s="101" t="s">
        <v>299</v>
      </c>
      <c r="G8" s="101" t="s">
        <v>300</v>
      </c>
      <c r="H8" s="101" t="s">
        <v>301</v>
      </c>
      <c r="I8" s="102" t="s">
        <v>302</v>
      </c>
      <c r="J8" s="103" t="s">
        <v>303</v>
      </c>
      <c r="K8" s="104" t="s">
        <v>304</v>
      </c>
      <c r="L8" s="100" t="s">
        <v>305</v>
      </c>
      <c r="M8" s="101" t="s">
        <v>306</v>
      </c>
      <c r="N8" s="102" t="s">
        <v>307</v>
      </c>
      <c r="O8" s="102" t="s">
        <v>302</v>
      </c>
      <c r="P8" s="102" t="s">
        <v>308</v>
      </c>
      <c r="Q8" s="105" t="s">
        <v>309</v>
      </c>
      <c r="R8" s="103" t="s">
        <v>303</v>
      </c>
    </row>
    <row r="9" spans="1:20" ht="23.25" customHeight="1">
      <c r="A9" s="106" t="s">
        <v>9</v>
      </c>
      <c r="B9" s="268" t="s">
        <v>310</v>
      </c>
      <c r="C9" s="111">
        <f>1000+5000</f>
        <v>6000</v>
      </c>
      <c r="D9" s="108">
        <v>10031</v>
      </c>
      <c r="E9" s="108">
        <f>838+665</f>
        <v>1503</v>
      </c>
      <c r="F9" s="108">
        <f>40735-10031-28000+28000+1503-838-665</f>
        <v>30704</v>
      </c>
      <c r="G9" s="108">
        <v>2053</v>
      </c>
      <c r="H9" s="108">
        <f>14400+28000-28000-10550+60-507</f>
        <v>3403</v>
      </c>
      <c r="I9" s="112">
        <v>507</v>
      </c>
      <c r="J9" s="110">
        <f aca="true" t="shared" si="0" ref="J9:J14">SUM(C9:I9)</f>
        <v>54201</v>
      </c>
      <c r="K9" s="111">
        <f>31440-57</f>
        <v>31383</v>
      </c>
      <c r="L9" s="108">
        <f>8438+121</f>
        <v>8559</v>
      </c>
      <c r="M9" s="108">
        <f>13085+2600+2053-1586-2600</f>
        <v>13552</v>
      </c>
      <c r="N9" s="108"/>
      <c r="O9" s="108">
        <f>572-572+507+200</f>
        <v>707</v>
      </c>
      <c r="P9" s="108"/>
      <c r="Q9" s="112"/>
      <c r="R9" s="110">
        <f aca="true" t="shared" si="1" ref="R9:R14">SUM(K9:Q9)</f>
        <v>54201</v>
      </c>
      <c r="T9" s="113"/>
    </row>
    <row r="10" spans="1:20" ht="23.25" customHeight="1">
      <c r="A10" s="106" t="s">
        <v>11</v>
      </c>
      <c r="B10" s="269" t="s">
        <v>311</v>
      </c>
      <c r="C10" s="116">
        <f>21335+569</f>
        <v>21904</v>
      </c>
      <c r="D10" s="114">
        <v>10031</v>
      </c>
      <c r="E10" s="114">
        <v>639</v>
      </c>
      <c r="F10" s="114">
        <f>40796+2888-10031+639-639</f>
        <v>33653</v>
      </c>
      <c r="G10" s="114">
        <v>719</v>
      </c>
      <c r="H10" s="114">
        <f>500+984+8500+62100+310</f>
        <v>72394</v>
      </c>
      <c r="I10" s="117"/>
      <c r="J10" s="115">
        <f t="shared" si="0"/>
        <v>139340</v>
      </c>
      <c r="K10" s="116">
        <f>32955+267+5078</f>
        <v>38300</v>
      </c>
      <c r="L10" s="114">
        <f>8915+104+1263</f>
        <v>10282</v>
      </c>
      <c r="M10" s="114">
        <f>20761+719+9113+57277</f>
        <v>87870</v>
      </c>
      <c r="N10" s="114"/>
      <c r="O10" s="114">
        <v>2888</v>
      </c>
      <c r="P10" s="114"/>
      <c r="Q10" s="117"/>
      <c r="R10" s="115">
        <f t="shared" si="1"/>
        <v>139340</v>
      </c>
      <c r="T10" s="113"/>
    </row>
    <row r="11" spans="1:20" ht="23.25" customHeight="1">
      <c r="A11" s="106" t="s">
        <v>13</v>
      </c>
      <c r="B11" s="269" t="s">
        <v>312</v>
      </c>
      <c r="C11" s="116">
        <f>140+450</f>
        <v>590</v>
      </c>
      <c r="D11" s="114">
        <v>9018</v>
      </c>
      <c r="E11" s="114">
        <v>167</v>
      </c>
      <c r="F11" s="114">
        <f>5391-5000+1000+4000+660-167</f>
        <v>5884</v>
      </c>
      <c r="G11" s="114"/>
      <c r="H11" s="114">
        <f>5000-1000-4000</f>
        <v>0</v>
      </c>
      <c r="I11" s="117">
        <v>51578</v>
      </c>
      <c r="J11" s="115">
        <f t="shared" si="0"/>
        <v>67237</v>
      </c>
      <c r="K11" s="116">
        <f>9314+132</f>
        <v>9446</v>
      </c>
      <c r="L11" s="114">
        <f>2385+35</f>
        <v>2420</v>
      </c>
      <c r="M11" s="114">
        <f>2850+450+493</f>
        <v>3793</v>
      </c>
      <c r="N11" s="114">
        <v>0</v>
      </c>
      <c r="O11" s="114">
        <v>51578</v>
      </c>
      <c r="P11" s="114"/>
      <c r="Q11" s="117"/>
      <c r="R11" s="115">
        <f t="shared" si="1"/>
        <v>67237</v>
      </c>
      <c r="T11" s="113"/>
    </row>
    <row r="12" spans="1:20" ht="23.25" customHeight="1">
      <c r="A12" s="106" t="s">
        <v>15</v>
      </c>
      <c r="B12" s="270" t="s">
        <v>313</v>
      </c>
      <c r="C12" s="116">
        <v>2864</v>
      </c>
      <c r="D12" s="114"/>
      <c r="E12" s="114">
        <v>1468</v>
      </c>
      <c r="F12" s="114">
        <f>2336+1468-1468</f>
        <v>2336</v>
      </c>
      <c r="G12" s="114">
        <v>27363</v>
      </c>
      <c r="H12" s="114">
        <f>124500+300</f>
        <v>124800</v>
      </c>
      <c r="I12" s="117"/>
      <c r="J12" s="115">
        <f t="shared" si="0"/>
        <v>158831</v>
      </c>
      <c r="K12" s="116">
        <f>64377+5000+1156</f>
        <v>70533</v>
      </c>
      <c r="L12" s="114">
        <f>15500+800+312</f>
        <v>16612</v>
      </c>
      <c r="M12" s="114">
        <f>50123+21563</f>
        <v>71686</v>
      </c>
      <c r="N12" s="114"/>
      <c r="O12" s="114"/>
      <c r="P12" s="114"/>
      <c r="Q12" s="117"/>
      <c r="R12" s="115">
        <f t="shared" si="1"/>
        <v>158831</v>
      </c>
      <c r="T12" s="113"/>
    </row>
    <row r="13" spans="1:20" ht="23.25" customHeight="1">
      <c r="A13" s="106" t="s">
        <v>17</v>
      </c>
      <c r="B13" s="271" t="s">
        <v>314</v>
      </c>
      <c r="C13" s="119">
        <v>134</v>
      </c>
      <c r="D13" s="118">
        <f>209224-106704</f>
        <v>102520</v>
      </c>
      <c r="E13" s="118"/>
      <c r="F13" s="118">
        <f>18453-15000+15000-9384</f>
        <v>9069</v>
      </c>
      <c r="G13" s="118">
        <f>5187-5187</f>
        <v>0</v>
      </c>
      <c r="H13" s="118">
        <f>3750+15000-15000-2165</f>
        <v>1585</v>
      </c>
      <c r="I13" s="281"/>
      <c r="J13" s="115">
        <f t="shared" si="0"/>
        <v>113308</v>
      </c>
      <c r="K13" s="119">
        <f>156998+2361-787-78767</f>
        <v>79805</v>
      </c>
      <c r="L13" s="118">
        <f>42389+639-213-22753</f>
        <v>20062</v>
      </c>
      <c r="M13" s="118">
        <f>32040+2321+1000-21920</f>
        <v>13441</v>
      </c>
      <c r="N13" s="118">
        <v>0</v>
      </c>
      <c r="O13" s="120"/>
      <c r="P13" s="120"/>
      <c r="Q13" s="121"/>
      <c r="R13" s="115">
        <f t="shared" si="1"/>
        <v>113308</v>
      </c>
      <c r="T13" s="113"/>
    </row>
    <row r="14" spans="1:20" ht="23.25" thickBot="1">
      <c r="A14" s="106" t="s">
        <v>19</v>
      </c>
      <c r="B14" s="272" t="s">
        <v>315</v>
      </c>
      <c r="C14" s="123">
        <f>39192-26176</f>
        <v>13016</v>
      </c>
      <c r="D14" s="124">
        <f>232874-116437</f>
        <v>116437</v>
      </c>
      <c r="E14" s="124"/>
      <c r="F14" s="124">
        <f>51370-5770-40000+40000-22880</f>
        <v>22720</v>
      </c>
      <c r="G14" s="124">
        <f>4358-4358</f>
        <v>0</v>
      </c>
      <c r="H14" s="124">
        <f>5770+40000-40000-4646</f>
        <v>1124</v>
      </c>
      <c r="I14" s="125"/>
      <c r="J14" s="122">
        <f t="shared" si="0"/>
        <v>153297</v>
      </c>
      <c r="K14" s="123">
        <f>195655-96567</f>
        <v>99088</v>
      </c>
      <c r="L14" s="124">
        <f>50047-26438</f>
        <v>23609</v>
      </c>
      <c r="M14" s="124">
        <f>77034-46928</f>
        <v>30106</v>
      </c>
      <c r="N14" s="124">
        <f>700-206</f>
        <v>494</v>
      </c>
      <c r="O14" s="124">
        <f>4358-4358</f>
        <v>0</v>
      </c>
      <c r="P14" s="124"/>
      <c r="Q14" s="125"/>
      <c r="R14" s="122">
        <f t="shared" si="1"/>
        <v>153297</v>
      </c>
      <c r="T14" s="113"/>
    </row>
    <row r="15" spans="1:20" s="133" customFormat="1" ht="15.75" thickBot="1">
      <c r="A15" s="126" t="s">
        <v>21</v>
      </c>
      <c r="B15" s="127" t="s">
        <v>316</v>
      </c>
      <c r="C15" s="128">
        <f aca="true" t="shared" si="2" ref="C15:R15">SUM(C9:C14)</f>
        <v>44508</v>
      </c>
      <c r="D15" s="129">
        <f t="shared" si="2"/>
        <v>248037</v>
      </c>
      <c r="E15" s="129">
        <f t="shared" si="2"/>
        <v>3777</v>
      </c>
      <c r="F15" s="129">
        <f t="shared" si="2"/>
        <v>104366</v>
      </c>
      <c r="G15" s="129">
        <f t="shared" si="2"/>
        <v>30135</v>
      </c>
      <c r="H15" s="129">
        <f t="shared" si="2"/>
        <v>203306</v>
      </c>
      <c r="I15" s="131">
        <f t="shared" si="2"/>
        <v>52085</v>
      </c>
      <c r="J15" s="274">
        <f t="shared" si="2"/>
        <v>686214</v>
      </c>
      <c r="K15" s="276">
        <f t="shared" si="2"/>
        <v>328555</v>
      </c>
      <c r="L15" s="277">
        <f t="shared" si="2"/>
        <v>81544</v>
      </c>
      <c r="M15" s="277">
        <f t="shared" si="2"/>
        <v>220448</v>
      </c>
      <c r="N15" s="277">
        <f t="shared" si="2"/>
        <v>494</v>
      </c>
      <c r="O15" s="277">
        <f t="shared" si="2"/>
        <v>55173</v>
      </c>
      <c r="P15" s="277">
        <f t="shared" si="2"/>
        <v>0</v>
      </c>
      <c r="Q15" s="278">
        <f t="shared" si="2"/>
        <v>0</v>
      </c>
      <c r="R15" s="275">
        <f t="shared" si="2"/>
        <v>686214</v>
      </c>
      <c r="T15" s="132"/>
    </row>
    <row r="16" spans="1:20" ht="23.25" customHeight="1">
      <c r="A16" s="106" t="s">
        <v>23</v>
      </c>
      <c r="B16" s="134" t="s">
        <v>421</v>
      </c>
      <c r="C16" s="111">
        <v>32150</v>
      </c>
      <c r="D16" s="108">
        <f>114836+19380+29025</f>
        <v>163241</v>
      </c>
      <c r="E16" s="108">
        <f>123187+2482</f>
        <v>125669</v>
      </c>
      <c r="F16" s="108">
        <f>604621-29025-252702-2500-7952-82000-30000-1000+138690+67074-123187-2482</f>
        <v>279537</v>
      </c>
      <c r="G16" s="108">
        <v>2710</v>
      </c>
      <c r="H16" s="108">
        <f>252702+82000+30000+1000-113000-122507</f>
        <v>130195</v>
      </c>
      <c r="I16" s="109"/>
      <c r="J16" s="110">
        <f>SUM(C16:I16)</f>
        <v>733502</v>
      </c>
      <c r="K16" s="107">
        <f>220146+1750+1954</f>
        <v>223850</v>
      </c>
      <c r="L16" s="108">
        <f>59410+470+528</f>
        <v>60408</v>
      </c>
      <c r="M16" s="108">
        <f>483479-2500+26180-57915</f>
        <v>449244</v>
      </c>
      <c r="N16" s="108"/>
      <c r="O16" s="108"/>
      <c r="P16" s="108"/>
      <c r="Q16" s="109"/>
      <c r="R16" s="110">
        <f>SUM(K16:Q16)</f>
        <v>733502</v>
      </c>
      <c r="T16" s="113"/>
    </row>
    <row r="17" spans="1:20" ht="23.25" customHeight="1" thickBot="1">
      <c r="A17" s="106" t="s">
        <v>25</v>
      </c>
      <c r="B17" s="135" t="s">
        <v>423</v>
      </c>
      <c r="C17" s="282"/>
      <c r="D17" s="283"/>
      <c r="E17" s="283"/>
      <c r="F17" s="283"/>
      <c r="G17" s="283"/>
      <c r="H17" s="283">
        <v>10329</v>
      </c>
      <c r="I17" s="284"/>
      <c r="J17" s="122">
        <f>SUM(C17:I17)</f>
        <v>10329</v>
      </c>
      <c r="K17" s="285">
        <v>5401</v>
      </c>
      <c r="L17" s="283">
        <v>1746</v>
      </c>
      <c r="M17" s="283">
        <v>3182</v>
      </c>
      <c r="N17" s="283"/>
      <c r="O17" s="283"/>
      <c r="P17" s="283"/>
      <c r="Q17" s="284"/>
      <c r="R17" s="122">
        <f>SUM(K17:Q17)</f>
        <v>10329</v>
      </c>
      <c r="T17" s="113"/>
    </row>
    <row r="18" spans="1:20" s="133" customFormat="1" ht="15.75" thickBot="1">
      <c r="A18" s="106" t="s">
        <v>27</v>
      </c>
      <c r="B18" s="127" t="s">
        <v>422</v>
      </c>
      <c r="C18" s="128">
        <f aca="true" t="shared" si="3" ref="C18:R18">SUM(C16:C17)</f>
        <v>32150</v>
      </c>
      <c r="D18" s="129">
        <f t="shared" si="3"/>
        <v>163241</v>
      </c>
      <c r="E18" s="129">
        <f t="shared" si="3"/>
        <v>125669</v>
      </c>
      <c r="F18" s="129">
        <f t="shared" si="3"/>
        <v>279537</v>
      </c>
      <c r="G18" s="129">
        <f t="shared" si="3"/>
        <v>2710</v>
      </c>
      <c r="H18" s="129">
        <f t="shared" si="3"/>
        <v>140524</v>
      </c>
      <c r="I18" s="131">
        <f t="shared" si="3"/>
        <v>0</v>
      </c>
      <c r="J18" s="279">
        <f t="shared" si="3"/>
        <v>743831</v>
      </c>
      <c r="K18" s="128">
        <f t="shared" si="3"/>
        <v>229251</v>
      </c>
      <c r="L18" s="129">
        <f t="shared" si="3"/>
        <v>62154</v>
      </c>
      <c r="M18" s="129">
        <f t="shared" si="3"/>
        <v>452426</v>
      </c>
      <c r="N18" s="129">
        <f t="shared" si="3"/>
        <v>0</v>
      </c>
      <c r="O18" s="129">
        <f t="shared" si="3"/>
        <v>0</v>
      </c>
      <c r="P18" s="129">
        <f t="shared" si="3"/>
        <v>0</v>
      </c>
      <c r="Q18" s="131">
        <f t="shared" si="3"/>
        <v>0</v>
      </c>
      <c r="R18" s="130">
        <f t="shared" si="3"/>
        <v>743831</v>
      </c>
      <c r="T18" s="132"/>
    </row>
    <row r="19" spans="1:20" ht="23.25" customHeight="1">
      <c r="A19" s="106" t="s">
        <v>29</v>
      </c>
      <c r="B19" s="135" t="s">
        <v>317</v>
      </c>
      <c r="C19" s="111">
        <f>1110477+25000</f>
        <v>1135477</v>
      </c>
      <c r="D19" s="108">
        <f>76539+108834-19380-29025+4541-2379+106704+116437</f>
        <v>362271</v>
      </c>
      <c r="E19" s="108">
        <f>2856+476+11179-10489+144095+465-123187-465-5594</f>
        <v>19336</v>
      </c>
      <c r="F19" s="108"/>
      <c r="G19" s="108">
        <f>200000+1000000+498060</f>
        <v>1698060</v>
      </c>
      <c r="H19" s="108">
        <f>616064-252702+10489-12373+409888</f>
        <v>771366</v>
      </c>
      <c r="I19" s="112">
        <f>1667218+12373+200-200</f>
        <v>1679591</v>
      </c>
      <c r="J19" s="110">
        <f>SUM(C19:I19)</f>
        <v>5666101</v>
      </c>
      <c r="K19" s="111">
        <f>351974+1000-6591</f>
        <v>346383</v>
      </c>
      <c r="L19" s="108">
        <f>65171+270-2501</f>
        <v>62940</v>
      </c>
      <c r="M19" s="108">
        <f>782221-8000+2500-800+3000+9861+3360+200000+25000-34705+24427-189-700+889-12373-10000+81611+288972-2642-25600</f>
        <v>1326832</v>
      </c>
      <c r="N19" s="108"/>
      <c r="O19" s="108">
        <f>1953148+2500+250+12373+420548+2642+25600</f>
        <v>2417061</v>
      </c>
      <c r="P19" s="108">
        <f>726645-2342+50850+290057-250+10000+148636-189804</f>
        <v>1033792</v>
      </c>
      <c r="Q19" s="112">
        <f>146040-50850</f>
        <v>95190</v>
      </c>
      <c r="R19" s="110">
        <f>SUM(K19:Q19)</f>
        <v>5282198</v>
      </c>
      <c r="T19" s="113"/>
    </row>
    <row r="20" spans="1:20" ht="23.25" customHeight="1" thickBot="1">
      <c r="A20" s="106" t="s">
        <v>31</v>
      </c>
      <c r="B20" s="136"/>
      <c r="C20" s="137"/>
      <c r="D20" s="138"/>
      <c r="E20" s="138"/>
      <c r="F20" s="138"/>
      <c r="G20" s="138"/>
      <c r="H20" s="138"/>
      <c r="I20" s="141"/>
      <c r="J20" s="139"/>
      <c r="K20" s="140"/>
      <c r="L20" s="138"/>
      <c r="M20" s="138">
        <f>460549-7952-4018-200000+225690-184061+223141-129446</f>
        <v>383903</v>
      </c>
      <c r="N20" s="138"/>
      <c r="O20" s="138"/>
      <c r="P20" s="138"/>
      <c r="Q20" s="141"/>
      <c r="R20" s="122">
        <f>SUM(K20:Q20)</f>
        <v>383903</v>
      </c>
      <c r="T20" s="113"/>
    </row>
    <row r="21" spans="1:20" ht="22.5" customHeight="1" thickBot="1">
      <c r="A21" s="142" t="s">
        <v>32</v>
      </c>
      <c r="B21" s="273" t="s">
        <v>318</v>
      </c>
      <c r="C21" s="143">
        <f aca="true" t="shared" si="4" ref="C21:L21">SUM(C15,C18,C19)</f>
        <v>1212135</v>
      </c>
      <c r="D21" s="145">
        <f t="shared" si="4"/>
        <v>773549</v>
      </c>
      <c r="E21" s="145">
        <f t="shared" si="4"/>
        <v>148782</v>
      </c>
      <c r="F21" s="145">
        <f t="shared" si="4"/>
        <v>383903</v>
      </c>
      <c r="G21" s="145">
        <f t="shared" si="4"/>
        <v>1730905</v>
      </c>
      <c r="H21" s="145">
        <f t="shared" si="4"/>
        <v>1115196</v>
      </c>
      <c r="I21" s="146">
        <f t="shared" si="4"/>
        <v>1731676</v>
      </c>
      <c r="J21" s="280">
        <f t="shared" si="4"/>
        <v>7096146</v>
      </c>
      <c r="K21" s="143">
        <f t="shared" si="4"/>
        <v>904189</v>
      </c>
      <c r="L21" s="145">
        <f t="shared" si="4"/>
        <v>206638</v>
      </c>
      <c r="M21" s="145">
        <f aca="true" t="shared" si="5" ref="M21:R21">SUM(M15,M18,M19,M20)</f>
        <v>2383609</v>
      </c>
      <c r="N21" s="145">
        <f t="shared" si="5"/>
        <v>494</v>
      </c>
      <c r="O21" s="145">
        <f t="shared" si="5"/>
        <v>2472234</v>
      </c>
      <c r="P21" s="145">
        <f t="shared" si="5"/>
        <v>1033792</v>
      </c>
      <c r="Q21" s="146">
        <f t="shared" si="5"/>
        <v>95190</v>
      </c>
      <c r="R21" s="144">
        <f t="shared" si="5"/>
        <v>7096146</v>
      </c>
      <c r="T21" s="113"/>
    </row>
    <row r="22" spans="10:18" ht="14.25">
      <c r="J22" s="147"/>
      <c r="K22" s="113"/>
      <c r="M22" s="148"/>
      <c r="R22" s="147">
        <f>R21-M20</f>
        <v>6712243</v>
      </c>
    </row>
    <row r="23" spans="3:19" ht="12.75">
      <c r="C23" s="113"/>
      <c r="D23" s="113"/>
      <c r="E23" s="113"/>
      <c r="F23" s="113"/>
      <c r="G23" s="113"/>
      <c r="H23" s="113"/>
      <c r="I23" s="113"/>
      <c r="J23" s="113"/>
      <c r="K23" s="149"/>
      <c r="L23" s="113"/>
      <c r="M23" s="113"/>
      <c r="N23" s="113"/>
      <c r="O23" s="113"/>
      <c r="P23" s="113"/>
      <c r="Q23" s="113"/>
      <c r="R23" s="113"/>
      <c r="S23" s="149"/>
    </row>
    <row r="24" spans="3:19" ht="12.75">
      <c r="C24" s="113"/>
      <c r="D24" s="113"/>
      <c r="E24" s="113"/>
      <c r="F24" s="113"/>
      <c r="G24" s="113"/>
      <c r="H24" s="113"/>
      <c r="I24" s="113"/>
      <c r="J24" s="113"/>
      <c r="K24" s="113"/>
      <c r="M24" s="113"/>
      <c r="N24" s="113"/>
      <c r="O24" s="113"/>
      <c r="P24" s="113"/>
      <c r="Q24" s="113"/>
      <c r="R24" s="113"/>
      <c r="S24" s="113"/>
    </row>
    <row r="25" spans="9:19" ht="12.75">
      <c r="I25" s="113"/>
      <c r="K25" s="113"/>
      <c r="S25" s="113"/>
    </row>
    <row r="26" ht="12.75">
      <c r="I26" s="113"/>
    </row>
  </sheetData>
  <mergeCells count="2">
    <mergeCell ref="P4:S4"/>
    <mergeCell ref="P1:S1"/>
  </mergeCells>
  <printOptions/>
  <pageMargins left="0.17" right="0.17" top="1.17" bottom="0.25" header="0.66" footer="0.16"/>
  <pageSetup horizontalDpi="600" verticalDpi="600" orientation="landscape" paperSize="9" scale="73" r:id="rId1"/>
  <headerFooter alignWithMargins="0">
    <oddHeader>&amp;L&amp;8 4. melléklet a…/….(….) önkormányzati rendelethez&amp;C&amp;"Arial CE,Félkövér"&amp;11
Az  önkormányzat és intézményeinek tervezett 
 bevételei és kiadásai
&amp;R
&amp;8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K26"/>
  <sheetViews>
    <sheetView tabSelected="1" workbookViewId="0" topLeftCell="A1">
      <selection activeCell="I33" sqref="I33"/>
    </sheetView>
  </sheetViews>
  <sheetFormatPr defaultColWidth="9.00390625" defaultRowHeight="12.75"/>
  <cols>
    <col min="1" max="1" width="3.875" style="150" customWidth="1"/>
    <col min="2" max="2" width="6.875" style="150" customWidth="1"/>
    <col min="3" max="3" width="34.125" style="150" bestFit="1" customWidth="1"/>
    <col min="4" max="11" width="11.625" style="150" customWidth="1"/>
    <col min="12" max="16384" width="9.125" style="150" customWidth="1"/>
  </cols>
  <sheetData>
    <row r="1" spans="2:9" ht="31.5" customHeight="1">
      <c r="B1" s="383" t="s">
        <v>319</v>
      </c>
      <c r="C1" s="383"/>
      <c r="D1" s="383"/>
      <c r="E1" s="383"/>
      <c r="F1" s="383"/>
      <c r="G1" s="383"/>
      <c r="H1" s="383"/>
      <c r="I1" s="383"/>
    </row>
    <row r="2" ht="15.75">
      <c r="C2" s="151"/>
    </row>
    <row r="3" spans="1:5" ht="38.25" customHeight="1">
      <c r="A3" s="384" t="s">
        <v>320</v>
      </c>
      <c r="B3" s="384"/>
      <c r="C3" s="384"/>
      <c r="D3" s="384"/>
      <c r="E3" s="384"/>
    </row>
    <row r="4" ht="13.5" thickBot="1">
      <c r="B4" s="152"/>
    </row>
    <row r="5" spans="1:11" ht="13.5" thickBot="1">
      <c r="A5" s="248"/>
      <c r="B5" s="242" t="s">
        <v>1</v>
      </c>
      <c r="C5" s="243" t="s">
        <v>321</v>
      </c>
      <c r="D5" s="243" t="s">
        <v>3</v>
      </c>
      <c r="E5" s="243" t="s">
        <v>4</v>
      </c>
      <c r="F5" s="243" t="s">
        <v>5</v>
      </c>
      <c r="G5" s="243" t="s">
        <v>6</v>
      </c>
      <c r="H5" s="243" t="s">
        <v>282</v>
      </c>
      <c r="I5" s="243" t="s">
        <v>283</v>
      </c>
      <c r="J5" s="243" t="s">
        <v>284</v>
      </c>
      <c r="K5" s="243" t="s">
        <v>285</v>
      </c>
    </row>
    <row r="6" spans="1:11" ht="24.75" thickBot="1">
      <c r="A6" s="249"/>
      <c r="B6" s="153" t="s">
        <v>322</v>
      </c>
      <c r="C6" s="154" t="s">
        <v>323</v>
      </c>
      <c r="D6" s="155" t="s">
        <v>324</v>
      </c>
      <c r="E6" s="156" t="s">
        <v>325</v>
      </c>
      <c r="F6" s="156" t="s">
        <v>8</v>
      </c>
      <c r="G6" s="156" t="s">
        <v>326</v>
      </c>
      <c r="H6" s="156" t="s">
        <v>327</v>
      </c>
      <c r="I6" s="156" t="s">
        <v>328</v>
      </c>
      <c r="J6" s="156" t="s">
        <v>329</v>
      </c>
      <c r="K6" s="156" t="s">
        <v>474</v>
      </c>
    </row>
    <row r="7" spans="1:11" ht="14.25" customHeight="1">
      <c r="A7" s="157" t="s">
        <v>9</v>
      </c>
      <c r="B7" s="244" t="s">
        <v>9</v>
      </c>
      <c r="C7" s="245" t="s">
        <v>310</v>
      </c>
      <c r="D7" s="246">
        <v>14</v>
      </c>
      <c r="E7" s="246">
        <v>14</v>
      </c>
      <c r="F7" s="246">
        <v>14</v>
      </c>
      <c r="G7" s="246">
        <v>14</v>
      </c>
      <c r="H7" s="246">
        <v>14</v>
      </c>
      <c r="I7" s="246">
        <v>14</v>
      </c>
      <c r="J7" s="246">
        <v>14</v>
      </c>
      <c r="K7" s="246">
        <v>14</v>
      </c>
    </row>
    <row r="8" spans="1:11" ht="12.75">
      <c r="A8" s="157" t="s">
        <v>11</v>
      </c>
      <c r="B8" s="158" t="s">
        <v>11</v>
      </c>
      <c r="C8" s="159" t="s">
        <v>311</v>
      </c>
      <c r="D8" s="160">
        <v>16</v>
      </c>
      <c r="E8" s="160">
        <v>16</v>
      </c>
      <c r="F8" s="160">
        <v>17</v>
      </c>
      <c r="G8" s="160">
        <v>17</v>
      </c>
      <c r="H8" s="160">
        <v>17</v>
      </c>
      <c r="I8" s="160">
        <v>17</v>
      </c>
      <c r="J8" s="160">
        <v>17</v>
      </c>
      <c r="K8" s="160">
        <v>17</v>
      </c>
    </row>
    <row r="9" spans="1:11" ht="12.75">
      <c r="A9" s="157" t="s">
        <v>13</v>
      </c>
      <c r="B9" s="158" t="s">
        <v>13</v>
      </c>
      <c r="C9" s="159" t="s">
        <v>330</v>
      </c>
      <c r="D9" s="160">
        <v>28</v>
      </c>
      <c r="E9" s="160">
        <v>28</v>
      </c>
      <c r="F9" s="160">
        <v>28</v>
      </c>
      <c r="G9" s="160">
        <v>28</v>
      </c>
      <c r="H9" s="160">
        <v>28</v>
      </c>
      <c r="I9" s="160">
        <v>28</v>
      </c>
      <c r="J9" s="160">
        <v>28</v>
      </c>
      <c r="K9" s="160">
        <v>28</v>
      </c>
    </row>
    <row r="10" spans="1:11" ht="12.75">
      <c r="A10" s="157" t="s">
        <v>15</v>
      </c>
      <c r="B10" s="158" t="s">
        <v>15</v>
      </c>
      <c r="C10" s="159" t="s">
        <v>317</v>
      </c>
      <c r="D10" s="160">
        <v>27</v>
      </c>
      <c r="E10" s="160">
        <v>27</v>
      </c>
      <c r="F10" s="160">
        <v>48</v>
      </c>
      <c r="G10" s="160">
        <f>48-10</f>
        <v>38</v>
      </c>
      <c r="H10" s="160">
        <v>38</v>
      </c>
      <c r="I10" s="160">
        <v>38</v>
      </c>
      <c r="J10" s="160">
        <v>38</v>
      </c>
      <c r="K10" s="160">
        <v>38</v>
      </c>
    </row>
    <row r="11" spans="1:11" ht="12.75">
      <c r="A11" s="157" t="s">
        <v>17</v>
      </c>
      <c r="B11" s="158" t="s">
        <v>17</v>
      </c>
      <c r="C11" s="159" t="s">
        <v>407</v>
      </c>
      <c r="D11" s="160">
        <f>D12+D13</f>
        <v>115</v>
      </c>
      <c r="E11" s="160">
        <f aca="true" t="shared" si="0" ref="E11:J11">E12+E13</f>
        <v>119</v>
      </c>
      <c r="F11" s="160">
        <f t="shared" si="0"/>
        <v>70</v>
      </c>
      <c r="G11" s="160">
        <f t="shared" si="0"/>
        <v>71</v>
      </c>
      <c r="H11" s="160">
        <f t="shared" si="0"/>
        <v>71</v>
      </c>
      <c r="I11" s="160">
        <f t="shared" si="0"/>
        <v>71</v>
      </c>
      <c r="J11" s="160">
        <f t="shared" si="0"/>
        <v>70</v>
      </c>
      <c r="K11" s="160">
        <f>K12+K13</f>
        <v>75</v>
      </c>
    </row>
    <row r="12" spans="1:11" ht="12.75">
      <c r="A12" s="157" t="s">
        <v>19</v>
      </c>
      <c r="B12" s="158" t="s">
        <v>410</v>
      </c>
      <c r="C12" s="254" t="s">
        <v>408</v>
      </c>
      <c r="D12" s="255">
        <v>115</v>
      </c>
      <c r="E12" s="256">
        <v>119</v>
      </c>
      <c r="F12" s="256">
        <f>71-1</f>
        <v>70</v>
      </c>
      <c r="G12" s="256">
        <f>68+3</f>
        <v>71</v>
      </c>
      <c r="H12" s="256">
        <v>71</v>
      </c>
      <c r="I12" s="256">
        <f>68+3</f>
        <v>71</v>
      </c>
      <c r="J12" s="256">
        <v>70</v>
      </c>
      <c r="K12" s="256">
        <v>70</v>
      </c>
    </row>
    <row r="13" spans="1:11" ht="12.75">
      <c r="A13" s="157" t="s">
        <v>21</v>
      </c>
      <c r="B13" s="158" t="s">
        <v>411</v>
      </c>
      <c r="C13" s="254" t="s">
        <v>409</v>
      </c>
      <c r="D13" s="255"/>
      <c r="E13" s="256"/>
      <c r="F13" s="256"/>
      <c r="G13" s="256"/>
      <c r="H13" s="256"/>
      <c r="I13" s="256"/>
      <c r="J13" s="256"/>
      <c r="K13" s="256">
        <v>5</v>
      </c>
    </row>
    <row r="14" spans="1:11" ht="12.75">
      <c r="A14" s="157" t="s">
        <v>23</v>
      </c>
      <c r="B14" s="158"/>
      <c r="C14" s="159" t="s">
        <v>331</v>
      </c>
      <c r="D14" s="160">
        <f>D26</f>
        <v>188</v>
      </c>
      <c r="E14" s="160">
        <f>E26</f>
        <v>201</v>
      </c>
      <c r="F14" s="160">
        <f>F26</f>
        <v>199</v>
      </c>
      <c r="G14" s="160">
        <f>G26</f>
        <v>201</v>
      </c>
      <c r="H14" s="160">
        <v>202</v>
      </c>
      <c r="I14" s="160">
        <f>I26</f>
        <v>4</v>
      </c>
      <c r="J14" s="160">
        <f>J26</f>
        <v>4</v>
      </c>
      <c r="K14" s="160">
        <f>K26</f>
        <v>4</v>
      </c>
    </row>
    <row r="15" spans="1:11" ht="13.5" thickBot="1">
      <c r="A15" s="157" t="s">
        <v>25</v>
      </c>
      <c r="B15" s="161"/>
      <c r="C15" s="162" t="s">
        <v>332</v>
      </c>
      <c r="D15" s="163">
        <v>266</v>
      </c>
      <c r="E15" s="163">
        <v>266</v>
      </c>
      <c r="F15" s="163">
        <v>328</v>
      </c>
      <c r="G15" s="163">
        <v>328</v>
      </c>
      <c r="H15" s="163">
        <v>328</v>
      </c>
      <c r="I15" s="163">
        <v>328</v>
      </c>
      <c r="J15" s="163">
        <v>328</v>
      </c>
      <c r="K15" s="163">
        <v>328</v>
      </c>
    </row>
    <row r="16" spans="1:11" ht="15.75" thickBot="1">
      <c r="A16" s="250" t="s">
        <v>27</v>
      </c>
      <c r="B16" s="252"/>
      <c r="C16" s="253" t="s">
        <v>303</v>
      </c>
      <c r="D16" s="165">
        <f>SUM(D7:D15)-D12-D13</f>
        <v>654</v>
      </c>
      <c r="E16" s="165">
        <f aca="true" t="shared" si="1" ref="E16:K16">SUM(E7:E15)-E12-E13</f>
        <v>671</v>
      </c>
      <c r="F16" s="165">
        <f t="shared" si="1"/>
        <v>704</v>
      </c>
      <c r="G16" s="165">
        <f t="shared" si="1"/>
        <v>697</v>
      </c>
      <c r="H16" s="165">
        <f t="shared" si="1"/>
        <v>698</v>
      </c>
      <c r="I16" s="165">
        <f t="shared" si="1"/>
        <v>500</v>
      </c>
      <c r="J16" s="165">
        <f t="shared" si="1"/>
        <v>499</v>
      </c>
      <c r="K16" s="165">
        <f t="shared" si="1"/>
        <v>504</v>
      </c>
    </row>
    <row r="17" ht="12.75">
      <c r="B17" s="166"/>
    </row>
    <row r="18" ht="12.75">
      <c r="B18" s="166"/>
    </row>
    <row r="19" spans="1:5" ht="33" customHeight="1">
      <c r="A19" s="384" t="s">
        <v>333</v>
      </c>
      <c r="B19" s="384"/>
      <c r="C19" s="384"/>
      <c r="D19" s="384"/>
      <c r="E19" s="384"/>
    </row>
    <row r="20" ht="13.5" thickBot="1">
      <c r="B20" s="152"/>
    </row>
    <row r="21" spans="1:11" ht="13.5" thickBot="1">
      <c r="A21" s="248"/>
      <c r="B21" s="242" t="s">
        <v>1</v>
      </c>
      <c r="C21" s="243" t="s">
        <v>321</v>
      </c>
      <c r="D21" s="243" t="s">
        <v>3</v>
      </c>
      <c r="E21" s="243" t="s">
        <v>4</v>
      </c>
      <c r="F21" s="243" t="s">
        <v>5</v>
      </c>
      <c r="G21" s="243" t="s">
        <v>6</v>
      </c>
      <c r="H21" s="243" t="s">
        <v>282</v>
      </c>
      <c r="I21" s="243" t="s">
        <v>283</v>
      </c>
      <c r="J21" s="243" t="s">
        <v>284</v>
      </c>
      <c r="K21" s="243" t="s">
        <v>285</v>
      </c>
    </row>
    <row r="22" spans="1:11" ht="24.75" thickBot="1">
      <c r="A22" s="249"/>
      <c r="B22" s="153" t="s">
        <v>322</v>
      </c>
      <c r="C22" s="154" t="s">
        <v>323</v>
      </c>
      <c r="D22" s="155" t="s">
        <v>324</v>
      </c>
      <c r="E22" s="156" t="s">
        <v>325</v>
      </c>
      <c r="F22" s="156" t="s">
        <v>8</v>
      </c>
      <c r="G22" s="156" t="s">
        <v>326</v>
      </c>
      <c r="H22" s="156" t="s">
        <v>327</v>
      </c>
      <c r="I22" s="156" t="s">
        <v>328</v>
      </c>
      <c r="J22" s="156" t="s">
        <v>329</v>
      </c>
      <c r="K22" s="156" t="s">
        <v>329</v>
      </c>
    </row>
    <row r="23" spans="1:11" ht="12.75">
      <c r="A23" s="251" t="s">
        <v>29</v>
      </c>
      <c r="B23" s="247" t="s">
        <v>412</v>
      </c>
      <c r="C23" s="245" t="s">
        <v>314</v>
      </c>
      <c r="D23" s="246">
        <v>76</v>
      </c>
      <c r="E23" s="246">
        <v>78</v>
      </c>
      <c r="F23" s="246">
        <v>76</v>
      </c>
      <c r="G23" s="246">
        <f>76+2</f>
        <v>78</v>
      </c>
      <c r="H23" s="246">
        <v>79</v>
      </c>
      <c r="I23" s="246">
        <v>0</v>
      </c>
      <c r="J23" s="246">
        <v>0</v>
      </c>
      <c r="K23" s="246">
        <v>0</v>
      </c>
    </row>
    <row r="24" spans="1:11" ht="12.75">
      <c r="A24" s="251" t="s">
        <v>31</v>
      </c>
      <c r="B24" s="167" t="s">
        <v>414</v>
      </c>
      <c r="C24" s="159" t="s">
        <v>334</v>
      </c>
      <c r="D24" s="160">
        <v>112</v>
      </c>
      <c r="E24" s="160">
        <v>123</v>
      </c>
      <c r="F24" s="160">
        <v>119</v>
      </c>
      <c r="G24" s="160">
        <v>119</v>
      </c>
      <c r="H24" s="160">
        <v>119</v>
      </c>
      <c r="I24" s="160">
        <v>0</v>
      </c>
      <c r="J24" s="160">
        <v>0</v>
      </c>
      <c r="K24" s="160">
        <v>0</v>
      </c>
    </row>
    <row r="25" spans="1:11" ht="13.5" thickBot="1">
      <c r="A25" s="251" t="s">
        <v>32</v>
      </c>
      <c r="B25" s="168" t="s">
        <v>413</v>
      </c>
      <c r="C25" s="162" t="s">
        <v>312</v>
      </c>
      <c r="D25" s="163">
        <v>0</v>
      </c>
      <c r="E25" s="163">
        <v>0</v>
      </c>
      <c r="F25" s="163">
        <v>4</v>
      </c>
      <c r="G25" s="163">
        <v>4</v>
      </c>
      <c r="H25" s="163">
        <v>4</v>
      </c>
      <c r="I25" s="163">
        <v>4</v>
      </c>
      <c r="J25" s="163">
        <v>4</v>
      </c>
      <c r="K25" s="163">
        <v>4</v>
      </c>
    </row>
    <row r="26" spans="1:11" ht="15.75" thickBot="1">
      <c r="A26" s="251" t="s">
        <v>34</v>
      </c>
      <c r="B26" s="169"/>
      <c r="C26" s="164" t="s">
        <v>303</v>
      </c>
      <c r="D26" s="164">
        <f aca="true" t="shared" si="2" ref="D26:K26">SUM(D23:D25)</f>
        <v>188</v>
      </c>
      <c r="E26" s="164">
        <f t="shared" si="2"/>
        <v>201</v>
      </c>
      <c r="F26" s="164">
        <f t="shared" si="2"/>
        <v>199</v>
      </c>
      <c r="G26" s="164">
        <f t="shared" si="2"/>
        <v>201</v>
      </c>
      <c r="H26" s="164">
        <f t="shared" si="2"/>
        <v>202</v>
      </c>
      <c r="I26" s="164">
        <f t="shared" si="2"/>
        <v>4</v>
      </c>
      <c r="J26" s="164">
        <f t="shared" si="2"/>
        <v>4</v>
      </c>
      <c r="K26" s="164">
        <f t="shared" si="2"/>
        <v>4</v>
      </c>
    </row>
  </sheetData>
  <mergeCells count="3">
    <mergeCell ref="B1:I1"/>
    <mergeCell ref="A3:E3"/>
    <mergeCell ref="A19:E19"/>
  </mergeCells>
  <printOptions horizontalCentered="1"/>
  <pageMargins left="0.54" right="0.39" top="0.79" bottom="0.3937007874015748" header="0.34" footer="0.5118110236220472"/>
  <pageSetup fitToHeight="0" horizontalDpi="300" verticalDpi="300" orientation="landscape" scale="95" r:id="rId1"/>
  <headerFooter alignWithMargins="0">
    <oddHeader>&amp;L&amp;8 5. melléklet a ..../....(.....)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E107"/>
  <sheetViews>
    <sheetView workbookViewId="0" topLeftCell="A23">
      <selection activeCell="L47" sqref="L47"/>
    </sheetView>
  </sheetViews>
  <sheetFormatPr defaultColWidth="9.00390625" defaultRowHeight="12.75"/>
  <cols>
    <col min="1" max="1" width="4.00390625" style="170" bestFit="1" customWidth="1"/>
    <col min="2" max="2" width="62.875" style="170" customWidth="1"/>
    <col min="3" max="3" width="12.875" style="172" bestFit="1" customWidth="1"/>
    <col min="4" max="4" width="13.75390625" style="170" customWidth="1"/>
    <col min="5" max="5" width="13.375" style="170" customWidth="1"/>
    <col min="6" max="16384" width="9.125" style="170" customWidth="1"/>
  </cols>
  <sheetData>
    <row r="5" ht="15">
      <c r="B5" s="171" t="s">
        <v>335</v>
      </c>
    </row>
    <row r="6" ht="15">
      <c r="B6" s="171"/>
    </row>
    <row r="7" ht="15">
      <c r="B7" s="171"/>
    </row>
    <row r="8" ht="15">
      <c r="B8" s="171"/>
    </row>
    <row r="9" ht="13.5" thickBot="1"/>
    <row r="10" spans="1:5" ht="15" customHeight="1" thickBot="1">
      <c r="A10" s="173"/>
      <c r="B10" s="194" t="s">
        <v>1</v>
      </c>
      <c r="C10" s="195" t="s">
        <v>2</v>
      </c>
      <c r="D10" s="227" t="s">
        <v>3</v>
      </c>
      <c r="E10" s="196" t="s">
        <v>4</v>
      </c>
    </row>
    <row r="11" spans="1:5" s="175" customFormat="1" ht="24.75" customHeight="1" thickBot="1">
      <c r="A11" s="174"/>
      <c r="B11" s="228" t="s">
        <v>336</v>
      </c>
      <c r="C11" s="229" t="s">
        <v>8</v>
      </c>
      <c r="D11" s="376" t="s">
        <v>473</v>
      </c>
      <c r="E11" s="230" t="s">
        <v>402</v>
      </c>
    </row>
    <row r="12" spans="1:5" ht="15" customHeight="1">
      <c r="A12" s="337" t="s">
        <v>9</v>
      </c>
      <c r="B12" s="176" t="s">
        <v>337</v>
      </c>
      <c r="C12" s="177">
        <v>10000</v>
      </c>
      <c r="D12" s="177">
        <v>10000</v>
      </c>
      <c r="E12" s="178">
        <v>10000</v>
      </c>
    </row>
    <row r="13" spans="1:5" ht="15" customHeight="1">
      <c r="A13" s="241" t="s">
        <v>11</v>
      </c>
      <c r="B13" s="179" t="s">
        <v>338</v>
      </c>
      <c r="C13" s="180">
        <v>24333</v>
      </c>
      <c r="D13" s="180">
        <v>24333</v>
      </c>
      <c r="E13" s="181">
        <v>24333</v>
      </c>
    </row>
    <row r="14" spans="1:5" ht="15" customHeight="1">
      <c r="A14" s="241" t="s">
        <v>13</v>
      </c>
      <c r="B14" s="179" t="s">
        <v>339</v>
      </c>
      <c r="C14" s="180">
        <v>71824</v>
      </c>
      <c r="D14" s="180">
        <v>71824</v>
      </c>
      <c r="E14" s="181">
        <f>71824+2745</f>
        <v>74569</v>
      </c>
    </row>
    <row r="15" spans="1:5" ht="15" customHeight="1">
      <c r="A15" s="241" t="s">
        <v>15</v>
      </c>
      <c r="B15" s="182" t="s">
        <v>340</v>
      </c>
      <c r="C15" s="180">
        <v>157715</v>
      </c>
      <c r="D15" s="180">
        <v>157715</v>
      </c>
      <c r="E15" s="181">
        <v>157715</v>
      </c>
    </row>
    <row r="16" spans="1:5" ht="15" customHeight="1">
      <c r="A16" s="241" t="s">
        <v>17</v>
      </c>
      <c r="B16" s="182" t="s">
        <v>341</v>
      </c>
      <c r="C16" s="180">
        <f>175239-157715</f>
        <v>17524</v>
      </c>
      <c r="D16" s="180">
        <f>175239-157715</f>
        <v>17524</v>
      </c>
      <c r="E16" s="181">
        <f>175239-157715</f>
        <v>17524</v>
      </c>
    </row>
    <row r="17" spans="1:5" ht="15" customHeight="1">
      <c r="A17" s="241" t="s">
        <v>19</v>
      </c>
      <c r="B17" s="182" t="s">
        <v>342</v>
      </c>
      <c r="C17" s="180">
        <v>285253</v>
      </c>
      <c r="D17" s="180">
        <v>285253</v>
      </c>
      <c r="E17" s="181">
        <v>285253</v>
      </c>
    </row>
    <row r="18" spans="1:5" ht="15" customHeight="1">
      <c r="A18" s="241" t="s">
        <v>21</v>
      </c>
      <c r="B18" s="182" t="s">
        <v>343</v>
      </c>
      <c r="C18" s="180">
        <v>50338</v>
      </c>
      <c r="D18" s="180">
        <v>50338</v>
      </c>
      <c r="E18" s="181">
        <v>50338</v>
      </c>
    </row>
    <row r="19" spans="1:5" ht="15" customHeight="1">
      <c r="A19" s="241" t="s">
        <v>23</v>
      </c>
      <c r="B19" s="182" t="s">
        <v>344</v>
      </c>
      <c r="C19" s="180">
        <v>182203</v>
      </c>
      <c r="D19" s="180">
        <v>182203</v>
      </c>
      <c r="E19" s="181">
        <v>182203</v>
      </c>
    </row>
    <row r="20" spans="1:5" ht="15" customHeight="1">
      <c r="A20" s="241" t="s">
        <v>25</v>
      </c>
      <c r="B20" s="182" t="s">
        <v>345</v>
      </c>
      <c r="C20" s="180">
        <v>32483</v>
      </c>
      <c r="D20" s="180">
        <v>32483</v>
      </c>
      <c r="E20" s="181">
        <f>32483+49199</f>
        <v>81682</v>
      </c>
    </row>
    <row r="21" spans="1:5" ht="15" customHeight="1">
      <c r="A21" s="241" t="s">
        <v>27</v>
      </c>
      <c r="B21" s="182" t="s">
        <v>424</v>
      </c>
      <c r="C21" s="180"/>
      <c r="D21" s="180"/>
      <c r="E21" s="181">
        <v>397698</v>
      </c>
    </row>
    <row r="22" spans="1:5" ht="15" customHeight="1">
      <c r="A22" s="241" t="s">
        <v>29</v>
      </c>
      <c r="B22" s="182" t="s">
        <v>425</v>
      </c>
      <c r="C22" s="180"/>
      <c r="D22" s="180"/>
      <c r="E22" s="181">
        <v>221930</v>
      </c>
    </row>
    <row r="23" spans="1:5" ht="15" customHeight="1">
      <c r="A23" s="241" t="s">
        <v>31</v>
      </c>
      <c r="B23" s="182" t="s">
        <v>346</v>
      </c>
      <c r="C23" s="180">
        <v>2888</v>
      </c>
      <c r="D23" s="180">
        <v>2888</v>
      </c>
      <c r="E23" s="181">
        <v>2888</v>
      </c>
    </row>
    <row r="24" spans="1:5" ht="15" customHeight="1">
      <c r="A24" s="241" t="s">
        <v>32</v>
      </c>
      <c r="B24" s="182" t="s">
        <v>475</v>
      </c>
      <c r="C24" s="180">
        <v>572</v>
      </c>
      <c r="D24" s="180">
        <v>572</v>
      </c>
      <c r="E24" s="181">
        <f>572+507-572</f>
        <v>507</v>
      </c>
    </row>
    <row r="25" spans="1:5" ht="15" customHeight="1">
      <c r="A25" s="241" t="s">
        <v>34</v>
      </c>
      <c r="B25" s="182" t="s">
        <v>404</v>
      </c>
      <c r="C25" s="180"/>
      <c r="D25" s="180"/>
      <c r="E25" s="181">
        <v>200</v>
      </c>
    </row>
    <row r="26" spans="1:5" ht="15" customHeight="1">
      <c r="A26" s="241" t="s">
        <v>36</v>
      </c>
      <c r="B26" s="182" t="s">
        <v>347</v>
      </c>
      <c r="C26" s="180">
        <v>108557</v>
      </c>
      <c r="D26" s="180">
        <v>108557</v>
      </c>
      <c r="E26" s="181">
        <v>108557</v>
      </c>
    </row>
    <row r="27" spans="1:5" ht="15" customHeight="1">
      <c r="A27" s="241" t="s">
        <v>38</v>
      </c>
      <c r="B27" s="179" t="s">
        <v>348</v>
      </c>
      <c r="C27" s="180">
        <v>149430</v>
      </c>
      <c r="D27" s="180">
        <v>149430</v>
      </c>
      <c r="E27" s="181">
        <v>149430</v>
      </c>
    </row>
    <row r="28" spans="1:5" ht="15" customHeight="1">
      <c r="A28" s="241" t="s">
        <v>40</v>
      </c>
      <c r="B28" s="179" t="s">
        <v>349</v>
      </c>
      <c r="C28" s="180">
        <f>157295-149430</f>
        <v>7865</v>
      </c>
      <c r="D28" s="180">
        <f>157295-149430</f>
        <v>7865</v>
      </c>
      <c r="E28" s="181">
        <f>157295-149430</f>
        <v>7865</v>
      </c>
    </row>
    <row r="29" spans="1:5" ht="25.5">
      <c r="A29" s="241" t="s">
        <v>42</v>
      </c>
      <c r="B29" s="183" t="s">
        <v>350</v>
      </c>
      <c r="C29" s="184">
        <v>337866</v>
      </c>
      <c r="D29" s="184">
        <v>337866</v>
      </c>
      <c r="E29" s="185">
        <v>337866</v>
      </c>
    </row>
    <row r="30" spans="1:5" ht="15" customHeight="1">
      <c r="A30" s="241" t="s">
        <v>44</v>
      </c>
      <c r="B30" s="179" t="s">
        <v>351</v>
      </c>
      <c r="C30" s="184">
        <v>97222</v>
      </c>
      <c r="D30" s="184">
        <v>97222</v>
      </c>
      <c r="E30" s="185">
        <v>97222</v>
      </c>
    </row>
    <row r="31" spans="1:5" ht="15" customHeight="1">
      <c r="A31" s="241" t="s">
        <v>46</v>
      </c>
      <c r="B31" s="179" t="s">
        <v>352</v>
      </c>
      <c r="C31" s="184">
        <v>10000</v>
      </c>
      <c r="D31" s="184">
        <v>10000</v>
      </c>
      <c r="E31" s="185">
        <v>10000</v>
      </c>
    </row>
    <row r="32" spans="1:5" ht="15" customHeight="1">
      <c r="A32" s="241" t="s">
        <v>48</v>
      </c>
      <c r="B32" s="179" t="s">
        <v>353</v>
      </c>
      <c r="C32" s="184">
        <v>3500</v>
      </c>
      <c r="D32" s="184">
        <v>3500</v>
      </c>
      <c r="E32" s="185">
        <v>3500</v>
      </c>
    </row>
    <row r="33" spans="1:5" ht="25.5">
      <c r="A33" s="241" t="s">
        <v>50</v>
      </c>
      <c r="B33" s="183" t="s">
        <v>354</v>
      </c>
      <c r="C33" s="184">
        <v>147177</v>
      </c>
      <c r="D33" s="184">
        <v>147177</v>
      </c>
      <c r="E33" s="185">
        <v>0</v>
      </c>
    </row>
    <row r="34" spans="1:5" ht="15" customHeight="1">
      <c r="A34" s="241" t="s">
        <v>52</v>
      </c>
      <c r="B34" s="179" t="s">
        <v>355</v>
      </c>
      <c r="C34" s="184">
        <v>39673</v>
      </c>
      <c r="D34" s="184">
        <v>39673</v>
      </c>
      <c r="E34" s="185">
        <v>0</v>
      </c>
    </row>
    <row r="35" spans="1:5" ht="15" customHeight="1">
      <c r="A35" s="241" t="s">
        <v>54</v>
      </c>
      <c r="B35" s="179" t="s">
        <v>356</v>
      </c>
      <c r="C35" s="184">
        <v>14834</v>
      </c>
      <c r="D35" s="184">
        <v>14834</v>
      </c>
      <c r="E35" s="185">
        <v>0</v>
      </c>
    </row>
    <row r="36" spans="1:5" ht="27.75" customHeight="1">
      <c r="A36" s="241" t="s">
        <v>56</v>
      </c>
      <c r="B36" s="183" t="s">
        <v>357</v>
      </c>
      <c r="C36" s="184">
        <v>34991</v>
      </c>
      <c r="D36" s="184">
        <v>34991</v>
      </c>
      <c r="E36" s="185">
        <v>34991</v>
      </c>
    </row>
    <row r="37" spans="1:5" ht="15.75" customHeight="1">
      <c r="A37" s="241" t="s">
        <v>58</v>
      </c>
      <c r="B37" s="179" t="s">
        <v>358</v>
      </c>
      <c r="C37" s="184">
        <v>18000</v>
      </c>
      <c r="D37" s="184">
        <v>18000</v>
      </c>
      <c r="E37" s="185">
        <v>18000</v>
      </c>
    </row>
    <row r="38" spans="1:5" ht="15" customHeight="1">
      <c r="A38" s="241" t="s">
        <v>60</v>
      </c>
      <c r="B38" s="179" t="s">
        <v>359</v>
      </c>
      <c r="C38" s="184">
        <v>60000</v>
      </c>
      <c r="D38" s="184">
        <v>60000</v>
      </c>
      <c r="E38" s="185">
        <v>0</v>
      </c>
    </row>
    <row r="39" spans="1:5" ht="15" customHeight="1">
      <c r="A39" s="241" t="s">
        <v>62</v>
      </c>
      <c r="B39" s="179" t="s">
        <v>360</v>
      </c>
      <c r="C39" s="184">
        <v>15000</v>
      </c>
      <c r="D39" s="184">
        <v>15000</v>
      </c>
      <c r="E39" s="185">
        <v>15000</v>
      </c>
    </row>
    <row r="40" spans="1:5" ht="15" customHeight="1">
      <c r="A40" s="241" t="s">
        <v>64</v>
      </c>
      <c r="B40" s="179" t="s">
        <v>361</v>
      </c>
      <c r="C40" s="184">
        <v>36578</v>
      </c>
      <c r="D40" s="184">
        <v>36578</v>
      </c>
      <c r="E40" s="185">
        <v>36578</v>
      </c>
    </row>
    <row r="41" spans="1:5" ht="15" customHeight="1">
      <c r="A41" s="241" t="s">
        <v>66</v>
      </c>
      <c r="B41" s="179" t="s">
        <v>362</v>
      </c>
      <c r="C41" s="184"/>
      <c r="D41" s="184">
        <v>12373</v>
      </c>
      <c r="E41" s="185">
        <v>12373</v>
      </c>
    </row>
    <row r="42" spans="1:5" ht="15" customHeight="1">
      <c r="A42" s="241" t="s">
        <v>67</v>
      </c>
      <c r="B42" s="179" t="s">
        <v>270</v>
      </c>
      <c r="C42" s="184">
        <v>6500</v>
      </c>
      <c r="D42" s="184">
        <v>6500</v>
      </c>
      <c r="E42" s="185">
        <v>6500</v>
      </c>
    </row>
    <row r="43" spans="1:5" ht="15" customHeight="1">
      <c r="A43" s="241" t="s">
        <v>68</v>
      </c>
      <c r="B43" s="179" t="s">
        <v>363</v>
      </c>
      <c r="C43" s="184">
        <v>70000</v>
      </c>
      <c r="D43" s="184">
        <v>70000</v>
      </c>
      <c r="E43" s="185">
        <v>70000</v>
      </c>
    </row>
    <row r="44" spans="1:5" ht="15" customHeight="1">
      <c r="A44" s="241" t="s">
        <v>69</v>
      </c>
      <c r="B44" s="179" t="s">
        <v>364</v>
      </c>
      <c r="C44" s="184">
        <v>6860</v>
      </c>
      <c r="D44" s="184">
        <v>6860</v>
      </c>
      <c r="E44" s="185">
        <v>6860</v>
      </c>
    </row>
    <row r="45" spans="1:5" ht="15" customHeight="1">
      <c r="A45" s="241" t="s">
        <v>71</v>
      </c>
      <c r="B45" s="179" t="s">
        <v>426</v>
      </c>
      <c r="C45" s="184"/>
      <c r="D45" s="184">
        <v>453</v>
      </c>
      <c r="E45" s="185">
        <v>453</v>
      </c>
    </row>
    <row r="46" spans="1:5" ht="15" customHeight="1">
      <c r="A46" s="241" t="s">
        <v>73</v>
      </c>
      <c r="B46" s="179" t="s">
        <v>365</v>
      </c>
      <c r="C46" s="184">
        <v>9000</v>
      </c>
      <c r="D46" s="184">
        <v>9000</v>
      </c>
      <c r="E46" s="185">
        <v>9000</v>
      </c>
    </row>
    <row r="47" spans="1:5" ht="15" customHeight="1" thickBot="1">
      <c r="A47" s="241" t="s">
        <v>75</v>
      </c>
      <c r="B47" s="186" t="s">
        <v>366</v>
      </c>
      <c r="C47" s="187">
        <v>714070</v>
      </c>
      <c r="D47" s="187">
        <f>714070+317915+10000</f>
        <v>1041985</v>
      </c>
      <c r="E47" s="188">
        <f>714070+317915+10000-4358</f>
        <v>1037627</v>
      </c>
    </row>
    <row r="48" spans="1:5" ht="15" customHeight="1" thickBot="1">
      <c r="A48" s="327" t="s">
        <v>77</v>
      </c>
      <c r="B48" s="189" t="s">
        <v>367</v>
      </c>
      <c r="C48" s="190">
        <f>SUM(C12:C47)</f>
        <v>2722256</v>
      </c>
      <c r="D48" s="190">
        <f>SUM(D12:D47)</f>
        <v>3062997</v>
      </c>
      <c r="E48" s="191">
        <f>SUM(E12:E47)</f>
        <v>3468662</v>
      </c>
    </row>
    <row r="49" spans="1:2" ht="15" customHeight="1">
      <c r="A49" s="192"/>
      <c r="B49" s="193"/>
    </row>
    <row r="50" spans="1:2" ht="15" customHeight="1">
      <c r="A50" s="192"/>
      <c r="B50" s="193"/>
    </row>
    <row r="51" spans="1:2" ht="15" customHeight="1">
      <c r="A51" s="192"/>
      <c r="B51" s="193"/>
    </row>
    <row r="52" spans="1:2" ht="15" customHeight="1">
      <c r="A52" s="192"/>
      <c r="B52" s="193"/>
    </row>
    <row r="53" spans="1:2" ht="15" customHeight="1">
      <c r="A53" s="192"/>
      <c r="B53" s="193"/>
    </row>
    <row r="54" spans="1:2" ht="15" customHeight="1">
      <c r="A54" s="192"/>
      <c r="B54" s="193"/>
    </row>
    <row r="55" spans="1:2" ht="15" customHeight="1">
      <c r="A55" s="192"/>
      <c r="B55" s="193"/>
    </row>
    <row r="56" spans="1:2" ht="15" customHeight="1">
      <c r="A56" s="192"/>
      <c r="B56" s="193"/>
    </row>
    <row r="57" spans="1:2" ht="15" customHeight="1">
      <c r="A57" s="192"/>
      <c r="B57" s="171" t="s">
        <v>368</v>
      </c>
    </row>
    <row r="58" spans="1:2" ht="15" customHeight="1">
      <c r="A58" s="192"/>
      <c r="B58" s="171"/>
    </row>
    <row r="59" spans="1:2" ht="15" customHeight="1">
      <c r="A59" s="192"/>
      <c r="B59" s="171"/>
    </row>
    <row r="60" spans="1:2" ht="15" customHeight="1" thickBot="1">
      <c r="A60" s="192"/>
      <c r="B60" s="192"/>
    </row>
    <row r="61" spans="1:5" ht="15" customHeight="1" thickBot="1">
      <c r="A61" s="239"/>
      <c r="B61" s="237" t="s">
        <v>1</v>
      </c>
      <c r="C61" s="195" t="s">
        <v>2</v>
      </c>
      <c r="D61" s="227" t="s">
        <v>3</v>
      </c>
      <c r="E61" s="196" t="s">
        <v>4</v>
      </c>
    </row>
    <row r="62" spans="1:5" ht="24.75" customHeight="1" thickBot="1">
      <c r="A62" s="240"/>
      <c r="B62" s="238" t="s">
        <v>369</v>
      </c>
      <c r="C62" s="229" t="s">
        <v>8</v>
      </c>
      <c r="D62" s="376" t="s">
        <v>473</v>
      </c>
      <c r="E62" s="230" t="s">
        <v>402</v>
      </c>
    </row>
    <row r="63" spans="1:5" ht="15" customHeight="1" thickBot="1">
      <c r="A63" s="241" t="s">
        <v>78</v>
      </c>
      <c r="B63" s="328" t="s">
        <v>370</v>
      </c>
      <c r="C63" s="329">
        <f>SUM(C64:C87)</f>
        <v>1538839</v>
      </c>
      <c r="D63" s="329">
        <f>SUM(D64:D89)</f>
        <v>1553462</v>
      </c>
      <c r="E63" s="330">
        <f>SUM(E64:E89)</f>
        <v>1982201</v>
      </c>
    </row>
    <row r="64" spans="1:5" ht="15" customHeight="1">
      <c r="A64" s="241" t="s">
        <v>80</v>
      </c>
      <c r="B64" s="331" t="s">
        <v>371</v>
      </c>
      <c r="C64" s="332">
        <v>24333</v>
      </c>
      <c r="D64" s="332">
        <v>24333</v>
      </c>
      <c r="E64" s="333">
        <v>24333</v>
      </c>
    </row>
    <row r="65" spans="1:5" ht="15" customHeight="1">
      <c r="A65" s="241" t="s">
        <v>82</v>
      </c>
      <c r="B65" s="182" t="s">
        <v>372</v>
      </c>
      <c r="C65" s="184">
        <v>108557</v>
      </c>
      <c r="D65" s="184">
        <v>108557</v>
      </c>
      <c r="E65" s="185">
        <v>108557</v>
      </c>
    </row>
    <row r="66" spans="1:5" ht="15" customHeight="1">
      <c r="A66" s="241" t="s">
        <v>84</v>
      </c>
      <c r="B66" s="182" t="s">
        <v>373</v>
      </c>
      <c r="C66" s="184">
        <v>175239</v>
      </c>
      <c r="D66" s="184">
        <v>175239</v>
      </c>
      <c r="E66" s="185">
        <v>175239</v>
      </c>
    </row>
    <row r="67" spans="1:5" ht="15" customHeight="1">
      <c r="A67" s="241" t="s">
        <v>86</v>
      </c>
      <c r="B67" s="182" t="s">
        <v>342</v>
      </c>
      <c r="C67" s="184">
        <v>335591</v>
      </c>
      <c r="D67" s="184">
        <v>335591</v>
      </c>
      <c r="E67" s="185">
        <v>335591</v>
      </c>
    </row>
    <row r="68" spans="1:5" ht="15" customHeight="1">
      <c r="A68" s="241" t="s">
        <v>88</v>
      </c>
      <c r="B68" s="182" t="s">
        <v>424</v>
      </c>
      <c r="C68" s="184"/>
      <c r="D68" s="184"/>
      <c r="E68" s="185">
        <v>397698</v>
      </c>
    </row>
    <row r="69" spans="1:5" ht="15" customHeight="1">
      <c r="A69" s="241" t="s">
        <v>89</v>
      </c>
      <c r="B69" s="182" t="s">
        <v>425</v>
      </c>
      <c r="C69" s="184"/>
      <c r="D69" s="184"/>
      <c r="E69" s="185">
        <v>221930</v>
      </c>
    </row>
    <row r="70" spans="1:5" ht="15" customHeight="1">
      <c r="A70" s="241" t="s">
        <v>91</v>
      </c>
      <c r="B70" s="179" t="s">
        <v>374</v>
      </c>
      <c r="C70" s="184">
        <v>157295</v>
      </c>
      <c r="D70" s="184">
        <v>157295</v>
      </c>
      <c r="E70" s="185">
        <v>157295</v>
      </c>
    </row>
    <row r="71" spans="1:5" ht="25.5">
      <c r="A71" s="241" t="s">
        <v>93</v>
      </c>
      <c r="B71" s="183" t="s">
        <v>350</v>
      </c>
      <c r="C71" s="184">
        <v>337866</v>
      </c>
      <c r="D71" s="184">
        <v>337866</v>
      </c>
      <c r="E71" s="185">
        <v>337866</v>
      </c>
    </row>
    <row r="72" spans="1:5" ht="15" customHeight="1">
      <c r="A72" s="241" t="s">
        <v>95</v>
      </c>
      <c r="B72" s="179" t="s">
        <v>375</v>
      </c>
      <c r="C72" s="184">
        <v>97222</v>
      </c>
      <c r="D72" s="184">
        <v>97222</v>
      </c>
      <c r="E72" s="185">
        <v>97222</v>
      </c>
    </row>
    <row r="73" spans="1:5" ht="15" customHeight="1">
      <c r="A73" s="241" t="s">
        <v>97</v>
      </c>
      <c r="B73" s="179" t="s">
        <v>376</v>
      </c>
      <c r="C73" s="184">
        <v>14590</v>
      </c>
      <c r="D73" s="184">
        <v>14590</v>
      </c>
      <c r="E73" s="185">
        <v>14590</v>
      </c>
    </row>
    <row r="74" spans="1:5" ht="15" customHeight="1">
      <c r="A74" s="241" t="s">
        <v>99</v>
      </c>
      <c r="B74" s="179" t="s">
        <v>377</v>
      </c>
      <c r="C74" s="184">
        <v>6500</v>
      </c>
      <c r="D74" s="184">
        <v>6500</v>
      </c>
      <c r="E74" s="185">
        <v>6500</v>
      </c>
    </row>
    <row r="75" spans="1:5" ht="25.5">
      <c r="A75" s="241" t="s">
        <v>101</v>
      </c>
      <c r="B75" s="183" t="s">
        <v>378</v>
      </c>
      <c r="C75" s="184">
        <v>147177</v>
      </c>
      <c r="D75" s="184">
        <v>147177</v>
      </c>
      <c r="E75" s="185">
        <v>0</v>
      </c>
    </row>
    <row r="76" spans="1:5" ht="25.5">
      <c r="A76" s="241" t="s">
        <v>103</v>
      </c>
      <c r="B76" s="183" t="s">
        <v>379</v>
      </c>
      <c r="C76" s="184">
        <v>39673</v>
      </c>
      <c r="D76" s="184">
        <v>39673</v>
      </c>
      <c r="E76" s="185">
        <v>0</v>
      </c>
    </row>
    <row r="77" spans="1:5" ht="15" customHeight="1">
      <c r="A77" s="241" t="s">
        <v>105</v>
      </c>
      <c r="B77" s="179" t="s">
        <v>356</v>
      </c>
      <c r="C77" s="184">
        <v>14834</v>
      </c>
      <c r="D77" s="184">
        <v>14834</v>
      </c>
      <c r="E77" s="185">
        <v>0</v>
      </c>
    </row>
    <row r="78" spans="1:5" ht="15" customHeight="1">
      <c r="A78" s="241" t="s">
        <v>107</v>
      </c>
      <c r="B78" s="179" t="s">
        <v>380</v>
      </c>
      <c r="C78" s="184">
        <v>1499</v>
      </c>
      <c r="D78" s="184">
        <v>1499</v>
      </c>
      <c r="E78" s="185">
        <v>1499</v>
      </c>
    </row>
    <row r="79" spans="1:5" ht="15" customHeight="1">
      <c r="A79" s="241" t="s">
        <v>108</v>
      </c>
      <c r="B79" s="179" t="s">
        <v>381</v>
      </c>
      <c r="C79" s="184">
        <v>18000</v>
      </c>
      <c r="D79" s="184">
        <v>18000</v>
      </c>
      <c r="E79" s="185">
        <v>18000</v>
      </c>
    </row>
    <row r="80" spans="1:5" ht="15" customHeight="1">
      <c r="A80" s="241" t="s">
        <v>110</v>
      </c>
      <c r="B80" s="182" t="s">
        <v>382</v>
      </c>
      <c r="C80" s="184">
        <v>572</v>
      </c>
      <c r="D80" s="184">
        <v>572</v>
      </c>
      <c r="E80" s="185">
        <f>507+200</f>
        <v>707</v>
      </c>
    </row>
    <row r="81" spans="1:5" ht="15" customHeight="1">
      <c r="A81" s="241" t="s">
        <v>113</v>
      </c>
      <c r="B81" s="182" t="s">
        <v>383</v>
      </c>
      <c r="C81" s="184">
        <v>1000</v>
      </c>
      <c r="D81" s="184">
        <v>1000</v>
      </c>
      <c r="E81" s="185">
        <v>1000</v>
      </c>
    </row>
    <row r="82" spans="1:5" ht="15" customHeight="1">
      <c r="A82" s="241" t="s">
        <v>115</v>
      </c>
      <c r="B82" s="179" t="s">
        <v>384</v>
      </c>
      <c r="C82" s="184">
        <v>15000</v>
      </c>
      <c r="D82" s="184">
        <v>15000</v>
      </c>
      <c r="E82" s="185">
        <v>15000</v>
      </c>
    </row>
    <row r="83" spans="1:5" ht="15" customHeight="1">
      <c r="A83" s="241" t="s">
        <v>117</v>
      </c>
      <c r="B83" s="179" t="s">
        <v>385</v>
      </c>
      <c r="C83" s="184">
        <f>2200+3700</f>
        <v>5900</v>
      </c>
      <c r="D83" s="184">
        <f>2200+3700</f>
        <v>5900</v>
      </c>
      <c r="E83" s="185">
        <f>2200+3700</f>
        <v>5900</v>
      </c>
    </row>
    <row r="84" spans="1:5" ht="15" customHeight="1">
      <c r="A84" s="241" t="s">
        <v>119</v>
      </c>
      <c r="B84" s="179" t="s">
        <v>406</v>
      </c>
      <c r="C84" s="184"/>
      <c r="D84" s="184"/>
      <c r="E84" s="185">
        <v>8660</v>
      </c>
    </row>
    <row r="85" spans="1:5" ht="15" customHeight="1">
      <c r="A85" s="241" t="s">
        <v>121</v>
      </c>
      <c r="B85" s="179" t="s">
        <v>405</v>
      </c>
      <c r="C85" s="184"/>
      <c r="D85" s="184"/>
      <c r="E85" s="185">
        <v>2000</v>
      </c>
    </row>
    <row r="86" spans="1:5" ht="15" customHeight="1">
      <c r="A86" s="241" t="s">
        <v>123</v>
      </c>
      <c r="B86" s="179" t="s">
        <v>386</v>
      </c>
      <c r="C86" s="184">
        <v>3000</v>
      </c>
      <c r="D86" s="184">
        <v>3000</v>
      </c>
      <c r="E86" s="185">
        <v>3000</v>
      </c>
    </row>
    <row r="87" spans="1:5" ht="30" customHeight="1">
      <c r="A87" s="241" t="s">
        <v>125</v>
      </c>
      <c r="B87" s="183" t="s">
        <v>357</v>
      </c>
      <c r="C87" s="184">
        <v>34991</v>
      </c>
      <c r="D87" s="184">
        <v>34991</v>
      </c>
      <c r="E87" s="185">
        <v>34991</v>
      </c>
    </row>
    <row r="88" spans="1:5" ht="15" customHeight="1">
      <c r="A88" s="241" t="s">
        <v>127</v>
      </c>
      <c r="B88" s="183" t="s">
        <v>387</v>
      </c>
      <c r="C88" s="184"/>
      <c r="D88" s="184">
        <v>2250</v>
      </c>
      <c r="E88" s="185">
        <v>2250</v>
      </c>
    </row>
    <row r="89" spans="1:5" ht="15" customHeight="1" thickBot="1">
      <c r="A89" s="241" t="s">
        <v>129</v>
      </c>
      <c r="B89" s="334" t="s">
        <v>388</v>
      </c>
      <c r="C89" s="187"/>
      <c r="D89" s="187">
        <v>12373</v>
      </c>
      <c r="E89" s="188">
        <v>12373</v>
      </c>
    </row>
    <row r="90" spans="1:5" ht="15" customHeight="1" thickBot="1">
      <c r="A90" s="241" t="s">
        <v>131</v>
      </c>
      <c r="B90" s="335" t="s">
        <v>389</v>
      </c>
      <c r="C90" s="231">
        <f>SUM(C91:C97)</f>
        <v>212144</v>
      </c>
      <c r="D90" s="231">
        <f>SUM(D91:D98)</f>
        <v>216502</v>
      </c>
      <c r="E90" s="232">
        <f>SUM(E91:E98)</f>
        <v>204088</v>
      </c>
    </row>
    <row r="91" spans="1:5" ht="15" customHeight="1">
      <c r="A91" s="241" t="s">
        <v>133</v>
      </c>
      <c r="B91" s="291" t="s">
        <v>390</v>
      </c>
      <c r="C91" s="233">
        <f>71824-10400</f>
        <v>61424</v>
      </c>
      <c r="D91" s="233">
        <f>71824-10400</f>
        <v>61424</v>
      </c>
      <c r="E91" s="234">
        <f>71824-10400+2745</f>
        <v>64169</v>
      </c>
    </row>
    <row r="92" spans="1:5" ht="15" customHeight="1">
      <c r="A92" s="241" t="s">
        <v>135</v>
      </c>
      <c r="B92" s="182" t="s">
        <v>391</v>
      </c>
      <c r="C92" s="184">
        <f>32483-7294</f>
        <v>25189</v>
      </c>
      <c r="D92" s="184">
        <f>32483-7294</f>
        <v>25189</v>
      </c>
      <c r="E92" s="185">
        <f>32483-7294+49199</f>
        <v>74388</v>
      </c>
    </row>
    <row r="93" spans="1:5" ht="15" customHeight="1">
      <c r="A93" s="241" t="s">
        <v>137</v>
      </c>
      <c r="B93" s="182" t="s">
        <v>392</v>
      </c>
      <c r="C93" s="184">
        <f>2888-1000</f>
        <v>1888</v>
      </c>
      <c r="D93" s="184">
        <f>2888-1000</f>
        <v>1888</v>
      </c>
      <c r="E93" s="185">
        <f>2888-1000</f>
        <v>1888</v>
      </c>
    </row>
    <row r="94" spans="1:5" ht="15" customHeight="1">
      <c r="A94" s="241" t="s">
        <v>139</v>
      </c>
      <c r="B94" s="179" t="s">
        <v>393</v>
      </c>
      <c r="C94" s="184">
        <v>60000</v>
      </c>
      <c r="D94" s="184">
        <v>60000</v>
      </c>
      <c r="E94" s="185">
        <v>0</v>
      </c>
    </row>
    <row r="95" spans="1:5" ht="15" customHeight="1">
      <c r="A95" s="241" t="s">
        <v>141</v>
      </c>
      <c r="B95" s="179" t="s">
        <v>394</v>
      </c>
      <c r="C95" s="184">
        <v>36578</v>
      </c>
      <c r="D95" s="184">
        <v>36578</v>
      </c>
      <c r="E95" s="185">
        <v>36578</v>
      </c>
    </row>
    <row r="96" spans="1:5" ht="15" customHeight="1">
      <c r="A96" s="241" t="s">
        <v>143</v>
      </c>
      <c r="B96" s="179" t="s">
        <v>395</v>
      </c>
      <c r="C96" s="184">
        <v>6860</v>
      </c>
      <c r="D96" s="184">
        <v>6860</v>
      </c>
      <c r="E96" s="185">
        <v>6860</v>
      </c>
    </row>
    <row r="97" spans="1:5" ht="15" customHeight="1">
      <c r="A97" s="241" t="s">
        <v>145</v>
      </c>
      <c r="B97" s="179" t="s">
        <v>396</v>
      </c>
      <c r="C97" s="184">
        <f>23205-3000</f>
        <v>20205</v>
      </c>
      <c r="D97" s="184">
        <f>23205-3000</f>
        <v>20205</v>
      </c>
      <c r="E97" s="185">
        <f>23205-3000</f>
        <v>20205</v>
      </c>
    </row>
    <row r="98" spans="1:5" ht="15" customHeight="1" thickBot="1">
      <c r="A98" s="241" t="s">
        <v>147</v>
      </c>
      <c r="B98" s="186" t="s">
        <v>397</v>
      </c>
      <c r="C98" s="187"/>
      <c r="D98" s="187">
        <v>4358</v>
      </c>
      <c r="E98" s="188"/>
    </row>
    <row r="99" spans="1:5" ht="15" customHeight="1" thickBot="1">
      <c r="A99" s="241" t="s">
        <v>148</v>
      </c>
      <c r="B99" s="335" t="s">
        <v>398</v>
      </c>
      <c r="C99" s="231">
        <f>SUM(C100:C106)</f>
        <v>971273</v>
      </c>
      <c r="D99" s="231">
        <f>SUM(D100:D106)</f>
        <v>1292580</v>
      </c>
      <c r="E99" s="232">
        <f>SUM(E100:E106)</f>
        <v>1281427</v>
      </c>
    </row>
    <row r="100" spans="1:5" ht="15" customHeight="1">
      <c r="A100" s="241" t="s">
        <v>150</v>
      </c>
      <c r="B100" s="331" t="s">
        <v>269</v>
      </c>
      <c r="C100" s="233">
        <v>70000</v>
      </c>
      <c r="D100" s="233">
        <v>70000</v>
      </c>
      <c r="E100" s="234">
        <v>70000</v>
      </c>
    </row>
    <row r="101" spans="1:5" ht="15" customHeight="1">
      <c r="A101" s="241" t="s">
        <v>152</v>
      </c>
      <c r="B101" s="179" t="s">
        <v>266</v>
      </c>
      <c r="C101" s="184">
        <v>5000</v>
      </c>
      <c r="D101" s="184">
        <v>5000</v>
      </c>
      <c r="E101" s="185">
        <v>5000</v>
      </c>
    </row>
    <row r="102" spans="1:5" ht="15" customHeight="1">
      <c r="A102" s="241" t="s">
        <v>154</v>
      </c>
      <c r="B102" s="179" t="s">
        <v>428</v>
      </c>
      <c r="C102" s="184">
        <v>182203</v>
      </c>
      <c r="D102" s="184">
        <v>182203</v>
      </c>
      <c r="E102" s="185">
        <v>182203</v>
      </c>
    </row>
    <row r="103" spans="1:5" ht="15" customHeight="1">
      <c r="A103" s="241" t="s">
        <v>156</v>
      </c>
      <c r="B103" s="179" t="s">
        <v>427</v>
      </c>
      <c r="C103" s="184"/>
      <c r="D103" s="184"/>
      <c r="E103" s="185">
        <v>25600</v>
      </c>
    </row>
    <row r="104" spans="1:5" ht="15" customHeight="1">
      <c r="A104" s="241" t="s">
        <v>158</v>
      </c>
      <c r="B104" s="179" t="s">
        <v>429</v>
      </c>
      <c r="C104" s="184"/>
      <c r="D104" s="184"/>
      <c r="E104" s="185">
        <v>2642</v>
      </c>
    </row>
    <row r="105" spans="1:5" ht="15" customHeight="1">
      <c r="A105" s="241" t="s">
        <v>160</v>
      </c>
      <c r="B105" s="179" t="s">
        <v>399</v>
      </c>
      <c r="C105" s="184"/>
      <c r="D105" s="184">
        <v>500</v>
      </c>
      <c r="E105" s="185">
        <v>500</v>
      </c>
    </row>
    <row r="106" spans="1:5" ht="15" customHeight="1" thickBot="1">
      <c r="A106" s="241" t="s">
        <v>162</v>
      </c>
      <c r="B106" s="186" t="s">
        <v>400</v>
      </c>
      <c r="C106" s="187">
        <v>714070</v>
      </c>
      <c r="D106" s="187">
        <v>1034877</v>
      </c>
      <c r="E106" s="188">
        <f>1034877-39395</f>
        <v>995482</v>
      </c>
    </row>
    <row r="107" spans="1:5" ht="15" customHeight="1" thickBot="1">
      <c r="A107" s="327" t="s">
        <v>164</v>
      </c>
      <c r="B107" s="336" t="s">
        <v>367</v>
      </c>
      <c r="C107" s="235">
        <f>C63+C90+C99</f>
        <v>2722256</v>
      </c>
      <c r="D107" s="235">
        <f>D63+D90+D99</f>
        <v>3062544</v>
      </c>
      <c r="E107" s="236">
        <f>E63+E90+E99</f>
        <v>3467716</v>
      </c>
    </row>
    <row r="108" ht="12.75" customHeight="1"/>
    <row r="109" ht="12.75" customHeight="1"/>
  </sheetData>
  <printOptions horizontalCentered="1"/>
  <pageMargins left="0.28" right="0.17" top="0.76" bottom="0.36" header="0.54" footer="0.54"/>
  <pageSetup horizontalDpi="600" verticalDpi="600" orientation="portrait" paperSize="9" scale="90" r:id="rId1"/>
  <headerFooter alignWithMargins="0">
    <oddHeader>&amp;L&amp;8 6. melléklet a ..../.....(.....)önkormányzati rendelethez&amp;C&amp;"Arial CE,Félkövér"&amp;11
&amp;R
</oddHeader>
  </headerFooter>
  <rowBreaks count="1" manualBreakCount="1">
    <brk id="55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F27" sqref="F27"/>
    </sheetView>
  </sheetViews>
  <sheetFormatPr defaultColWidth="9.00390625" defaultRowHeight="12.75"/>
  <cols>
    <col min="1" max="1" width="4.00390625" style="0" customWidth="1"/>
    <col min="2" max="2" width="48.75390625" style="0" customWidth="1"/>
    <col min="3" max="3" width="12.25390625" style="0" customWidth="1"/>
    <col min="4" max="4" width="10.625" style="0" customWidth="1"/>
    <col min="5" max="5" width="10.25390625" style="0" customWidth="1"/>
    <col min="6" max="7" width="9.75390625" style="0" customWidth="1"/>
  </cols>
  <sheetData>
    <row r="1" spans="6:10" ht="13.5" thickBot="1">
      <c r="F1" s="385" t="s">
        <v>281</v>
      </c>
      <c r="G1" s="385"/>
      <c r="H1" s="385"/>
      <c r="I1" s="385"/>
      <c r="J1" s="385"/>
    </row>
    <row r="2" spans="1:10" ht="13.5" thickBot="1">
      <c r="A2" s="286"/>
      <c r="B2" s="309" t="s">
        <v>1</v>
      </c>
      <c r="C2" s="310" t="s">
        <v>2</v>
      </c>
      <c r="D2" s="310" t="s">
        <v>3</v>
      </c>
      <c r="E2" s="311" t="s">
        <v>4</v>
      </c>
      <c r="F2" s="312" t="s">
        <v>5</v>
      </c>
      <c r="G2" s="313" t="s">
        <v>6</v>
      </c>
      <c r="H2" s="311" t="s">
        <v>282</v>
      </c>
      <c r="I2" s="312" t="s">
        <v>283</v>
      </c>
      <c r="J2" s="313" t="s">
        <v>284</v>
      </c>
    </row>
    <row r="3" spans="1:10" ht="31.5" customHeight="1">
      <c r="A3" s="287"/>
      <c r="B3" s="389" t="s">
        <v>430</v>
      </c>
      <c r="C3" s="391" t="s">
        <v>431</v>
      </c>
      <c r="D3" s="391" t="s">
        <v>432</v>
      </c>
      <c r="E3" s="386" t="s">
        <v>433</v>
      </c>
      <c r="F3" s="387"/>
      <c r="G3" s="388"/>
      <c r="H3" s="386" t="s">
        <v>434</v>
      </c>
      <c r="I3" s="387"/>
      <c r="J3" s="388"/>
    </row>
    <row r="4" spans="1:10" s="289" customFormat="1" ht="12.75" customHeight="1" thickBot="1">
      <c r="A4" s="288"/>
      <c r="B4" s="390"/>
      <c r="C4" s="392"/>
      <c r="D4" s="392"/>
      <c r="E4" s="319" t="s">
        <v>435</v>
      </c>
      <c r="F4" s="320" t="s">
        <v>436</v>
      </c>
      <c r="G4" s="321" t="s">
        <v>303</v>
      </c>
      <c r="H4" s="319" t="s">
        <v>435</v>
      </c>
      <c r="I4" s="320" t="s">
        <v>436</v>
      </c>
      <c r="J4" s="321" t="s">
        <v>303</v>
      </c>
    </row>
    <row r="5" spans="1:10" ht="18.75" customHeight="1">
      <c r="A5" s="290" t="s">
        <v>9</v>
      </c>
      <c r="B5" s="314" t="s">
        <v>437</v>
      </c>
      <c r="C5" s="315">
        <v>108557</v>
      </c>
      <c r="D5" s="315">
        <v>0</v>
      </c>
      <c r="E5" s="316">
        <v>108557</v>
      </c>
      <c r="F5" s="317">
        <v>0</v>
      </c>
      <c r="G5" s="318">
        <v>108557</v>
      </c>
      <c r="H5" s="316">
        <v>0</v>
      </c>
      <c r="I5" s="317">
        <v>0</v>
      </c>
      <c r="J5" s="318">
        <v>0</v>
      </c>
    </row>
    <row r="6" spans="1:10" ht="18.75" customHeight="1">
      <c r="A6" s="85" t="s">
        <v>11</v>
      </c>
      <c r="B6" s="303" t="s">
        <v>438</v>
      </c>
      <c r="C6" s="306">
        <v>175966</v>
      </c>
      <c r="D6" s="306">
        <v>104142</v>
      </c>
      <c r="E6" s="308">
        <v>71824</v>
      </c>
      <c r="F6" s="292">
        <v>0</v>
      </c>
      <c r="G6" s="293">
        <v>71824</v>
      </c>
      <c r="H6" s="308">
        <v>0</v>
      </c>
      <c r="I6" s="292">
        <v>0</v>
      </c>
      <c r="J6" s="293">
        <v>0</v>
      </c>
    </row>
    <row r="7" spans="1:10" ht="18.75" customHeight="1">
      <c r="A7" s="85" t="s">
        <v>13</v>
      </c>
      <c r="B7" s="85" t="s">
        <v>439</v>
      </c>
      <c r="C7" s="305">
        <v>1215129</v>
      </c>
      <c r="D7" s="305">
        <v>697335</v>
      </c>
      <c r="E7" s="307">
        <v>285253</v>
      </c>
      <c r="F7" s="294">
        <v>232541</v>
      </c>
      <c r="G7" s="295">
        <v>517794</v>
      </c>
      <c r="H7" s="307">
        <v>0</v>
      </c>
      <c r="I7" s="294">
        <v>0</v>
      </c>
      <c r="J7" s="295">
        <v>0</v>
      </c>
    </row>
    <row r="8" spans="1:10" ht="18.75" customHeight="1">
      <c r="A8" s="85" t="s">
        <v>15</v>
      </c>
      <c r="B8" s="303" t="s">
        <v>440</v>
      </c>
      <c r="C8" s="306">
        <v>824445</v>
      </c>
      <c r="D8" s="306">
        <v>800112</v>
      </c>
      <c r="E8" s="308">
        <v>24333</v>
      </c>
      <c r="F8" s="292">
        <v>0</v>
      </c>
      <c r="G8" s="293">
        <v>24333</v>
      </c>
      <c r="H8" s="308">
        <v>0</v>
      </c>
      <c r="I8" s="292">
        <v>0</v>
      </c>
      <c r="J8" s="293">
        <v>0</v>
      </c>
    </row>
    <row r="9" spans="1:10" ht="18.75" customHeight="1">
      <c r="A9" s="85" t="s">
        <v>17</v>
      </c>
      <c r="B9" s="303" t="s">
        <v>441</v>
      </c>
      <c r="C9" s="306">
        <v>157295</v>
      </c>
      <c r="D9" s="306">
        <v>0</v>
      </c>
      <c r="E9" s="308">
        <v>149430</v>
      </c>
      <c r="F9" s="292">
        <v>7865</v>
      </c>
      <c r="G9" s="293">
        <v>157295</v>
      </c>
      <c r="H9" s="308">
        <v>0</v>
      </c>
      <c r="I9" s="292">
        <v>0</v>
      </c>
      <c r="J9" s="293">
        <v>0</v>
      </c>
    </row>
    <row r="10" spans="1:10" ht="42" customHeight="1">
      <c r="A10" s="85" t="s">
        <v>19</v>
      </c>
      <c r="B10" s="304" t="s">
        <v>442</v>
      </c>
      <c r="C10" s="306">
        <v>337866</v>
      </c>
      <c r="D10" s="306">
        <v>0</v>
      </c>
      <c r="E10" s="308">
        <v>337866</v>
      </c>
      <c r="F10" s="292">
        <v>0</v>
      </c>
      <c r="G10" s="293">
        <v>337866</v>
      </c>
      <c r="H10" s="308">
        <v>0</v>
      </c>
      <c r="I10" s="292">
        <v>0</v>
      </c>
      <c r="J10" s="293">
        <v>0</v>
      </c>
    </row>
    <row r="11" spans="1:10" ht="18.75" customHeight="1">
      <c r="A11" s="85" t="s">
        <v>21</v>
      </c>
      <c r="B11" s="303" t="s">
        <v>375</v>
      </c>
      <c r="C11" s="306">
        <v>97222</v>
      </c>
      <c r="D11" s="306">
        <v>0</v>
      </c>
      <c r="E11" s="308">
        <v>97222</v>
      </c>
      <c r="F11" s="292">
        <v>0</v>
      </c>
      <c r="G11" s="293">
        <v>97222</v>
      </c>
      <c r="H11" s="308">
        <v>0</v>
      </c>
      <c r="I11" s="292">
        <v>0</v>
      </c>
      <c r="J11" s="293">
        <v>0</v>
      </c>
    </row>
    <row r="12" spans="1:10" ht="18.75" customHeight="1">
      <c r="A12" s="85" t="s">
        <v>29</v>
      </c>
      <c r="B12" s="303" t="s">
        <v>443</v>
      </c>
      <c r="C12" s="306">
        <v>34991</v>
      </c>
      <c r="D12" s="306">
        <v>0</v>
      </c>
      <c r="E12" s="308">
        <v>34991</v>
      </c>
      <c r="F12" s="292">
        <v>0</v>
      </c>
      <c r="G12" s="293">
        <v>34991</v>
      </c>
      <c r="H12" s="308">
        <v>0</v>
      </c>
      <c r="I12" s="292">
        <v>0</v>
      </c>
      <c r="J12" s="293">
        <v>0</v>
      </c>
    </row>
    <row r="13" spans="1:10" ht="18.75" customHeight="1">
      <c r="A13" s="85" t="s">
        <v>32</v>
      </c>
      <c r="B13" s="303" t="s">
        <v>444</v>
      </c>
      <c r="C13" s="306">
        <v>0</v>
      </c>
      <c r="D13" s="306">
        <v>0</v>
      </c>
      <c r="E13" s="308">
        <v>157715</v>
      </c>
      <c r="F13" s="292">
        <v>17524</v>
      </c>
      <c r="G13" s="293">
        <v>175239</v>
      </c>
      <c r="H13" s="308">
        <v>0</v>
      </c>
      <c r="I13" s="292">
        <v>0</v>
      </c>
      <c r="J13" s="293">
        <v>0</v>
      </c>
    </row>
    <row r="14" spans="1:10" ht="18.75" customHeight="1">
      <c r="A14" s="85" t="s">
        <v>34</v>
      </c>
      <c r="B14" s="303" t="s">
        <v>445</v>
      </c>
      <c r="C14" s="306">
        <v>112000</v>
      </c>
      <c r="D14" s="306">
        <v>79517</v>
      </c>
      <c r="E14" s="308">
        <v>32483</v>
      </c>
      <c r="F14" s="292">
        <v>0</v>
      </c>
      <c r="G14" s="293">
        <v>32483</v>
      </c>
      <c r="H14" s="308">
        <v>0</v>
      </c>
      <c r="I14" s="292">
        <v>0</v>
      </c>
      <c r="J14" s="293">
        <v>0</v>
      </c>
    </row>
    <row r="15" spans="1:10" ht="18.75" customHeight="1">
      <c r="A15" s="85" t="s">
        <v>36</v>
      </c>
      <c r="B15" s="303" t="s">
        <v>384</v>
      </c>
      <c r="C15" s="306">
        <v>20000</v>
      </c>
      <c r="D15" s="306">
        <v>5000</v>
      </c>
      <c r="E15" s="308">
        <v>15000</v>
      </c>
      <c r="F15" s="292">
        <v>0</v>
      </c>
      <c r="G15" s="293">
        <v>15000</v>
      </c>
      <c r="H15" s="308">
        <v>0</v>
      </c>
      <c r="I15" s="292">
        <v>0</v>
      </c>
      <c r="J15" s="293">
        <v>0</v>
      </c>
    </row>
    <row r="16" spans="1:10" ht="18.75" customHeight="1">
      <c r="A16" s="85" t="s">
        <v>38</v>
      </c>
      <c r="B16" s="303" t="s">
        <v>394</v>
      </c>
      <c r="C16" s="306">
        <v>48770</v>
      </c>
      <c r="D16" s="306">
        <v>12192</v>
      </c>
      <c r="E16" s="308">
        <v>36578</v>
      </c>
      <c r="F16" s="292">
        <v>0</v>
      </c>
      <c r="G16" s="293">
        <v>36578</v>
      </c>
      <c r="H16" s="308">
        <v>0</v>
      </c>
      <c r="I16" s="292">
        <v>0</v>
      </c>
      <c r="J16" s="293">
        <v>0</v>
      </c>
    </row>
    <row r="17" spans="1:10" ht="18.75" customHeight="1">
      <c r="A17" s="302" t="s">
        <v>40</v>
      </c>
      <c r="B17" s="303" t="s">
        <v>446</v>
      </c>
      <c r="C17" s="306">
        <v>397698</v>
      </c>
      <c r="D17" s="306">
        <v>0</v>
      </c>
      <c r="E17" s="308">
        <v>19433</v>
      </c>
      <c r="F17" s="292">
        <v>0</v>
      </c>
      <c r="G17" s="293">
        <v>19433</v>
      </c>
      <c r="H17" s="308">
        <f>C17-E17</f>
        <v>378265</v>
      </c>
      <c r="I17" s="292">
        <v>0</v>
      </c>
      <c r="J17" s="293">
        <v>378265</v>
      </c>
    </row>
    <row r="18" spans="1:10" ht="18.75" customHeight="1" thickBot="1">
      <c r="A18" s="302" t="s">
        <v>42</v>
      </c>
      <c r="B18" s="302" t="s">
        <v>447</v>
      </c>
      <c r="C18" s="322">
        <v>221930</v>
      </c>
      <c r="D18" s="322">
        <v>0</v>
      </c>
      <c r="E18" s="323">
        <v>13207</v>
      </c>
      <c r="F18" s="296">
        <v>0</v>
      </c>
      <c r="G18" s="297">
        <v>13207</v>
      </c>
      <c r="H18" s="323">
        <f>C18-E18</f>
        <v>208723</v>
      </c>
      <c r="I18" s="296">
        <v>0</v>
      </c>
      <c r="J18" s="297">
        <v>208723</v>
      </c>
    </row>
    <row r="19" spans="1:10" ht="18.75" customHeight="1" thickBot="1">
      <c r="A19" s="298" t="s">
        <v>44</v>
      </c>
      <c r="B19" s="324" t="s">
        <v>303</v>
      </c>
      <c r="C19" s="325">
        <f>SUM(C5:C18)</f>
        <v>3751869</v>
      </c>
      <c r="D19" s="325">
        <f>SUM(D5:D8)</f>
        <v>1601589</v>
      </c>
      <c r="E19" s="326">
        <f>SUM(E5:E18)</f>
        <v>1383892</v>
      </c>
      <c r="F19" s="299">
        <f>SUM(F5:F18)</f>
        <v>257930</v>
      </c>
      <c r="G19" s="300">
        <f>SUM(G5:G18)</f>
        <v>1641822</v>
      </c>
      <c r="H19" s="326">
        <f>SUM(H5:H17)</f>
        <v>378265</v>
      </c>
      <c r="I19" s="299">
        <f>SUM(I5:I16)</f>
        <v>0</v>
      </c>
      <c r="J19" s="300">
        <f>SUM(J5:J18)</f>
        <v>586988</v>
      </c>
    </row>
    <row r="20" spans="2:7" ht="12.75">
      <c r="B20" s="301"/>
      <c r="C20" s="301"/>
      <c r="D20" s="301"/>
      <c r="E20" s="301"/>
      <c r="F20" s="301"/>
      <c r="G20" s="301"/>
    </row>
    <row r="21" spans="2:7" ht="12.75">
      <c r="B21" s="301"/>
      <c r="C21" s="301"/>
      <c r="D21" s="301"/>
      <c r="E21" s="301"/>
      <c r="F21" s="301"/>
      <c r="G21" s="301"/>
    </row>
  </sheetData>
  <mergeCells count="6">
    <mergeCell ref="F1:J1"/>
    <mergeCell ref="H3:J3"/>
    <mergeCell ref="E3:G3"/>
    <mergeCell ref="B3:B4"/>
    <mergeCell ref="C3:C4"/>
    <mergeCell ref="D3:D4"/>
  </mergeCells>
  <printOptions horizontalCentered="1"/>
  <pageMargins left="0.3937007874015748" right="0.3937007874015748" top="0.92" bottom="0.984251968503937" header="0.45" footer="0.5118110236220472"/>
  <pageSetup horizontalDpi="300" verticalDpi="300" orientation="landscape" paperSize="9" r:id="rId1"/>
  <headerFooter alignWithMargins="0">
    <oddHeader>&amp;L&amp;8 7. melléklet a ..../....(.....) önkormányzati rendelethez&amp;C&amp;"Arial CE,Félkövér"
Az Európai Uniós támogatással megvalósuló programok bevételei és kiadásai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E11" sqref="E11"/>
    </sheetView>
  </sheetViews>
  <sheetFormatPr defaultColWidth="9.00390625" defaultRowHeight="12.75"/>
  <cols>
    <col min="1" max="1" width="3.375" style="0" bestFit="1" customWidth="1"/>
    <col min="2" max="2" width="34.625" style="0" customWidth="1"/>
    <col min="3" max="3" width="19.375" style="0" bestFit="1" customWidth="1"/>
    <col min="4" max="4" width="17.375" style="0" customWidth="1"/>
    <col min="5" max="5" width="11.375" style="0" customWidth="1"/>
    <col min="6" max="6" width="12.625" style="0" customWidth="1"/>
  </cols>
  <sheetData>
    <row r="2" spans="1:3" ht="12.75">
      <c r="A2" s="394" t="s">
        <v>468</v>
      </c>
      <c r="B2" s="394"/>
      <c r="C2" s="394"/>
    </row>
    <row r="3" spans="1:3" ht="12.75">
      <c r="A3" s="338"/>
      <c r="B3" s="338"/>
      <c r="C3" s="338"/>
    </row>
    <row r="4" spans="1:3" ht="12.75">
      <c r="A4" s="338"/>
      <c r="B4" s="338"/>
      <c r="C4" s="338"/>
    </row>
    <row r="6" spans="3:7" s="340" customFormat="1" ht="30" customHeight="1">
      <c r="C6" s="339"/>
      <c r="D6" s="339"/>
      <c r="E6" s="339"/>
      <c r="F6" s="339"/>
      <c r="G6" s="339"/>
    </row>
    <row r="7" spans="1:8" s="340" customFormat="1" ht="15" customHeight="1">
      <c r="A7" s="393" t="s">
        <v>448</v>
      </c>
      <c r="B7" s="393"/>
      <c r="C7" s="393"/>
      <c r="D7" s="393"/>
      <c r="E7" s="342"/>
      <c r="F7" s="342"/>
      <c r="G7" s="341"/>
      <c r="H7" s="343"/>
    </row>
    <row r="8" spans="1:8" s="340" customFormat="1" ht="15" customHeight="1">
      <c r="A8" s="341"/>
      <c r="B8" s="341"/>
      <c r="C8" s="341"/>
      <c r="D8" s="341"/>
      <c r="E8" s="342"/>
      <c r="F8" s="342"/>
      <c r="G8" s="341"/>
      <c r="H8" s="343"/>
    </row>
    <row r="9" spans="1:8" s="340" customFormat="1" ht="15.75" thickBot="1">
      <c r="A9" s="344"/>
      <c r="B9" s="345"/>
      <c r="C9" s="395" t="s">
        <v>281</v>
      </c>
      <c r="D9" s="395"/>
      <c r="E9" s="346"/>
      <c r="F9" s="346"/>
      <c r="G9" s="347"/>
      <c r="H9" s="348"/>
    </row>
    <row r="10" spans="1:8" s="340" customFormat="1" ht="15.75" thickBot="1">
      <c r="A10" s="349"/>
      <c r="B10" s="350" t="s">
        <v>1</v>
      </c>
      <c r="C10" s="351" t="s">
        <v>2</v>
      </c>
      <c r="D10" s="351" t="s">
        <v>3</v>
      </c>
      <c r="E10" s="351" t="s">
        <v>4</v>
      </c>
      <c r="F10" s="352" t="s">
        <v>5</v>
      </c>
      <c r="G10" s="344"/>
      <c r="H10" s="170"/>
    </row>
    <row r="11" spans="1:8" s="340" customFormat="1" ht="26.25" thickBot="1">
      <c r="A11" s="353"/>
      <c r="B11" s="371" t="s">
        <v>449</v>
      </c>
      <c r="C11" s="372" t="s">
        <v>450</v>
      </c>
      <c r="D11" s="360" t="s">
        <v>8</v>
      </c>
      <c r="E11" s="376" t="s">
        <v>473</v>
      </c>
      <c r="F11" s="361" t="s">
        <v>402</v>
      </c>
      <c r="G11" s="344"/>
      <c r="H11" s="170"/>
    </row>
    <row r="12" spans="1:8" s="340" customFormat="1" ht="15">
      <c r="A12" s="362" t="s">
        <v>9</v>
      </c>
      <c r="B12" s="363" t="s">
        <v>451</v>
      </c>
      <c r="C12" s="364" t="s">
        <v>452</v>
      </c>
      <c r="D12" s="365">
        <v>1000</v>
      </c>
      <c r="E12" s="365">
        <v>1000</v>
      </c>
      <c r="F12" s="366">
        <v>1000</v>
      </c>
      <c r="G12" s="344"/>
      <c r="H12" s="170"/>
    </row>
    <row r="13" spans="1:8" s="340" customFormat="1" ht="15">
      <c r="A13" s="367" t="s">
        <v>11</v>
      </c>
      <c r="B13" s="368" t="s">
        <v>453</v>
      </c>
      <c r="C13" s="354" t="s">
        <v>454</v>
      </c>
      <c r="D13" s="369">
        <f>9000+28861</f>
        <v>37861</v>
      </c>
      <c r="E13" s="369">
        <f>9000+28861</f>
        <v>37861</v>
      </c>
      <c r="F13" s="355">
        <f>9000+28861+1500</f>
        <v>39361</v>
      </c>
      <c r="G13" s="344"/>
      <c r="H13" s="170"/>
    </row>
    <row r="14" spans="1:8" s="340" customFormat="1" ht="15">
      <c r="A14" s="367" t="s">
        <v>13</v>
      </c>
      <c r="B14" s="368" t="s">
        <v>455</v>
      </c>
      <c r="C14" s="354" t="s">
        <v>456</v>
      </c>
      <c r="D14" s="369">
        <v>100</v>
      </c>
      <c r="E14" s="369">
        <v>100</v>
      </c>
      <c r="F14" s="355">
        <v>100</v>
      </c>
      <c r="G14" s="344"/>
      <c r="H14" s="170"/>
    </row>
    <row r="15" spans="1:8" s="340" customFormat="1" ht="24">
      <c r="A15" s="367" t="s">
        <v>15</v>
      </c>
      <c r="B15" s="368" t="s">
        <v>457</v>
      </c>
      <c r="C15" s="356" t="s">
        <v>458</v>
      </c>
      <c r="D15" s="369">
        <f>15000-13000</f>
        <v>2000</v>
      </c>
      <c r="E15" s="369">
        <f>15000-13000+20000</f>
        <v>22000</v>
      </c>
      <c r="F15" s="355">
        <f>15000-13000+20000+25600+2642</f>
        <v>50242</v>
      </c>
      <c r="G15" s="344"/>
      <c r="H15" s="170"/>
    </row>
    <row r="16" spans="1:8" s="340" customFormat="1" ht="15">
      <c r="A16" s="367" t="s">
        <v>17</v>
      </c>
      <c r="B16" s="368" t="s">
        <v>469</v>
      </c>
      <c r="C16" s="356" t="s">
        <v>470</v>
      </c>
      <c r="D16" s="369"/>
      <c r="E16" s="369">
        <v>1000</v>
      </c>
      <c r="F16" s="355">
        <v>1000</v>
      </c>
      <c r="G16" s="344"/>
      <c r="H16" s="170"/>
    </row>
    <row r="17" spans="1:8" s="340" customFormat="1" ht="15">
      <c r="A17" s="367" t="s">
        <v>19</v>
      </c>
      <c r="B17" s="368" t="s">
        <v>459</v>
      </c>
      <c r="C17" s="354" t="s">
        <v>456</v>
      </c>
      <c r="D17" s="369">
        <v>500</v>
      </c>
      <c r="E17" s="369">
        <v>500</v>
      </c>
      <c r="F17" s="355">
        <v>500</v>
      </c>
      <c r="G17" s="344"/>
      <c r="H17" s="170"/>
    </row>
    <row r="18" spans="1:8" s="340" customFormat="1" ht="24">
      <c r="A18" s="367" t="s">
        <v>21</v>
      </c>
      <c r="B18" s="368" t="s">
        <v>460</v>
      </c>
      <c r="C18" s="356" t="s">
        <v>461</v>
      </c>
      <c r="D18" s="369">
        <f>292000-6000-29600</f>
        <v>256400</v>
      </c>
      <c r="E18" s="369">
        <f>292000-6000-29600</f>
        <v>256400</v>
      </c>
      <c r="F18" s="355">
        <f>292000-6000-29600</f>
        <v>256400</v>
      </c>
      <c r="G18" s="344"/>
      <c r="H18" s="170"/>
    </row>
    <row r="19" spans="1:8" s="340" customFormat="1" ht="15">
      <c r="A19" s="367" t="s">
        <v>23</v>
      </c>
      <c r="B19" s="368" t="s">
        <v>462</v>
      </c>
      <c r="C19" s="356" t="s">
        <v>463</v>
      </c>
      <c r="D19" s="369">
        <v>500</v>
      </c>
      <c r="E19" s="369">
        <v>500</v>
      </c>
      <c r="F19" s="355">
        <v>500</v>
      </c>
      <c r="G19" s="344"/>
      <c r="H19" s="170"/>
    </row>
    <row r="20" spans="1:8" s="340" customFormat="1" ht="24">
      <c r="A20" s="367" t="s">
        <v>25</v>
      </c>
      <c r="B20" s="368" t="s">
        <v>464</v>
      </c>
      <c r="C20" s="356" t="s">
        <v>465</v>
      </c>
      <c r="D20" s="369">
        <v>2500</v>
      </c>
      <c r="E20" s="369">
        <v>2500</v>
      </c>
      <c r="F20" s="355">
        <v>2500</v>
      </c>
      <c r="G20" s="344"/>
      <c r="H20" s="170"/>
    </row>
    <row r="21" spans="1:8" s="340" customFormat="1" ht="24">
      <c r="A21" s="367" t="s">
        <v>27</v>
      </c>
      <c r="B21" s="368" t="s">
        <v>466</v>
      </c>
      <c r="C21" s="356" t="s">
        <v>467</v>
      </c>
      <c r="D21" s="369">
        <v>1800</v>
      </c>
      <c r="E21" s="369">
        <v>1800</v>
      </c>
      <c r="F21" s="355">
        <v>1800</v>
      </c>
      <c r="G21" s="344"/>
      <c r="H21" s="170"/>
    </row>
    <row r="22" spans="1:8" s="340" customFormat="1" ht="25.5" thickBot="1">
      <c r="A22" s="367"/>
      <c r="B22" s="377" t="s">
        <v>472</v>
      </c>
      <c r="C22" s="357" t="s">
        <v>471</v>
      </c>
      <c r="D22" s="370">
        <v>3200</v>
      </c>
      <c r="E22" s="370">
        <v>3200</v>
      </c>
      <c r="F22" s="358">
        <v>3200</v>
      </c>
      <c r="G22" s="344"/>
      <c r="H22" s="170"/>
    </row>
    <row r="23" spans="1:6" ht="13.5" thickBot="1">
      <c r="A23" s="367" t="s">
        <v>29</v>
      </c>
      <c r="B23" s="373" t="s">
        <v>303</v>
      </c>
      <c r="C23" s="374"/>
      <c r="D23" s="375">
        <f>SUM(D12:D22)</f>
        <v>305861</v>
      </c>
      <c r="E23" s="375">
        <f>SUM(E12:E22)</f>
        <v>326861</v>
      </c>
      <c r="F23" s="359">
        <f>SUM(F12:F22)</f>
        <v>356603</v>
      </c>
    </row>
  </sheetData>
  <mergeCells count="3">
    <mergeCell ref="A7:D7"/>
    <mergeCell ref="A2:C2"/>
    <mergeCell ref="C9:D9"/>
  </mergeCells>
  <printOptions/>
  <pageMargins left="0.54" right="0.28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xy</cp:lastModifiedBy>
  <cp:lastPrinted>2013-10-21T12:01:08Z</cp:lastPrinted>
  <dcterms:created xsi:type="dcterms:W3CDTF">1997-01-17T14:02:09Z</dcterms:created>
  <dcterms:modified xsi:type="dcterms:W3CDTF">2013-10-21T12:09:09Z</dcterms:modified>
  <cp:category/>
  <cp:version/>
  <cp:contentType/>
  <cp:contentStatus/>
</cp:coreProperties>
</file>