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940" windowHeight="8595" tabRatio="765" firstSheet="10" activeTab="15"/>
  </bookViews>
  <sheets>
    <sheet name="1.CimrendI" sheetId="1" r:id="rId1"/>
    <sheet name="2.CimrendII" sheetId="2" r:id="rId2"/>
    <sheet name="3.mérleg " sheetId="3" r:id="rId3"/>
    <sheet name="mérleg működési" sheetId="4" r:id="rId4"/>
    <sheet name="mérleg felhalmozási" sheetId="5" r:id="rId5"/>
    <sheet name="6. bev-kiad" sheetId="6" r:id="rId6"/>
    <sheet name="7.int.-i bevételek" sheetId="7" r:id="rId7"/>
    <sheet name="8.önállóak kiad." sheetId="8" r:id="rId8"/>
    <sheet name="9.szakfeladatos" sheetId="9" r:id="rId9"/>
    <sheet name="10.támogatások" sheetId="10" r:id="rId10"/>
    <sheet name="11. Felhalm." sheetId="11" r:id="rId11"/>
    <sheet name="1.Táj.tábla mérleg" sheetId="12" r:id="rId12"/>
    <sheet name="2.Táj.tábla mérleg műk." sheetId="13" r:id="rId13"/>
    <sheet name="3.Táj.tábla mérleg felhalm." sheetId="14" r:id="rId14"/>
    <sheet name="4.Táj.tábla bev-kiad" sheetId="15" r:id="rId15"/>
    <sheet name="5.Táj.tábla támog." sheetId="16" r:id="rId16"/>
    <sheet name="6.Táj.tábla felhalm." sheetId="17" r:id="rId17"/>
  </sheets>
  <definedNames>
    <definedName name="_xlnm.Print_Area" localSheetId="11">'1.Táj.tábla mérleg'!$A$1:$H$112</definedName>
    <definedName name="_xlnm.Print_Area" localSheetId="10">'11. Felhalm.'!$A$1:$E$96</definedName>
  </definedNames>
  <calcPr fullCalcOnLoad="1"/>
</workbook>
</file>

<file path=xl/sharedStrings.xml><?xml version="1.0" encoding="utf-8"?>
<sst xmlns="http://schemas.openxmlformats.org/spreadsheetml/2006/main" count="1365" uniqueCount="495">
  <si>
    <t>Sorszám</t>
  </si>
  <si>
    <t>Megnevezés</t>
  </si>
  <si>
    <t>1.</t>
  </si>
  <si>
    <t>2.</t>
  </si>
  <si>
    <t>3.</t>
  </si>
  <si>
    <t>4.</t>
  </si>
  <si>
    <t>5.</t>
  </si>
  <si>
    <t>6.</t>
  </si>
  <si>
    <t>Várszínház és Művészetek Háza</t>
  </si>
  <si>
    <t>7.</t>
  </si>
  <si>
    <t>8.</t>
  </si>
  <si>
    <t>9.</t>
  </si>
  <si>
    <t>Városi Egészségügyi Alapellátás</t>
  </si>
  <si>
    <t>10.</t>
  </si>
  <si>
    <t>Polgármesteri Hivatal</t>
  </si>
  <si>
    <t>Csillag-Közi Központi Társulási Óvoda</t>
  </si>
  <si>
    <t>Összesen:</t>
  </si>
  <si>
    <t>Kistérségi Szociális Szolgálat</t>
  </si>
  <si>
    <t>Bevétel megnevezése</t>
  </si>
  <si>
    <t>Kiadás megnevezése</t>
  </si>
  <si>
    <t>I.  Működési kiadások</t>
  </si>
  <si>
    <t xml:space="preserve">      Intézményi kiadások</t>
  </si>
  <si>
    <t xml:space="preserve">      OEP intézmény</t>
  </si>
  <si>
    <t xml:space="preserve">      Polgármesteri Hivatal</t>
  </si>
  <si>
    <t>Ebből:</t>
  </si>
  <si>
    <t>II. Támogatások</t>
  </si>
  <si>
    <t xml:space="preserve">       Normatív hozzájárulás</t>
  </si>
  <si>
    <t xml:space="preserve">       Kötött felhasználású normatíva</t>
  </si>
  <si>
    <t xml:space="preserve">       Színház támogatás</t>
  </si>
  <si>
    <t>II.  Felhalmozási kiadások</t>
  </si>
  <si>
    <t xml:space="preserve">       ÖNHIKI</t>
  </si>
  <si>
    <t xml:space="preserve">     3. Pénzügyi befektetések bevételei</t>
  </si>
  <si>
    <t>IV. Támogatás értékű bevétel</t>
  </si>
  <si>
    <t xml:space="preserve">     1. Támogatás értékű működési bevétel</t>
  </si>
  <si>
    <t>V.  Véglegesen átvett pénzeszköz</t>
  </si>
  <si>
    <t>VI. Támogatási kölcsönök visszatérülése</t>
  </si>
  <si>
    <t>B  e  v  é  t  e  l  e  k</t>
  </si>
  <si>
    <t>K  i  a  d  á  s  o  k</t>
  </si>
  <si>
    <t>Kiadásból személyi juttatás</t>
  </si>
  <si>
    <t>Intézmény neve</t>
  </si>
  <si>
    <t>Teljesítés</t>
  </si>
  <si>
    <t>%</t>
  </si>
  <si>
    <t>Intézményi működési bevétel</t>
  </si>
  <si>
    <t>Hitel bevétel</t>
  </si>
  <si>
    <t>Pénz-   maradvány</t>
  </si>
  <si>
    <t>Összesen</t>
  </si>
  <si>
    <t>Járulékok</t>
  </si>
  <si>
    <t>Kiadások</t>
  </si>
  <si>
    <t>Kölcsönök nyújtása</t>
  </si>
  <si>
    <t>Személyi juttatások</t>
  </si>
  <si>
    <t>Dologi és egyéb folyó kiadások</t>
  </si>
  <si>
    <t>Felújítás</t>
  </si>
  <si>
    <t>Intézményi működési bevételek</t>
  </si>
  <si>
    <t xml:space="preserve">     Céltartalék</t>
  </si>
  <si>
    <t xml:space="preserve">     Általános tartalék</t>
  </si>
  <si>
    <t xml:space="preserve">     Felhalmozási tartalék</t>
  </si>
  <si>
    <t>Függő, átfutó bevétel</t>
  </si>
  <si>
    <t>Eredeti előirányzat</t>
  </si>
  <si>
    <t>Ingatlan értékesítés</t>
  </si>
  <si>
    <t>Támogatások, kiegészítések</t>
  </si>
  <si>
    <t>Hosszú lejáratú hitelek felvétele</t>
  </si>
  <si>
    <t>Rövid lejáratú hitelek felvétele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</si>
  <si>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</si>
  <si>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</si>
  <si>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</si>
  <si>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</si>
  <si>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</si>
  <si>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</si>
  <si>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</si>
  <si>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</si>
  <si>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</si>
  <si>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11.</t>
  </si>
  <si>
    <t>12.</t>
  </si>
  <si>
    <t>13.</t>
  </si>
  <si>
    <t>14.</t>
  </si>
  <si>
    <t>15.</t>
  </si>
  <si>
    <t>16.</t>
  </si>
  <si>
    <t>17.</t>
  </si>
  <si>
    <t>18.</t>
  </si>
  <si>
    <t>Kölcsönök visszatérülése</t>
  </si>
  <si>
    <t>Időskorúak, fogyatékkal élők nappali ell. ÉAOP.4.1.3. pályázat</t>
  </si>
  <si>
    <t>Mindösszesen</t>
  </si>
  <si>
    <t>adatok ezer forintban</t>
  </si>
  <si>
    <t>Címrend a rendelet  1. §-hoz</t>
  </si>
  <si>
    <t>19.</t>
  </si>
  <si>
    <t>20.</t>
  </si>
  <si>
    <t>Személyi  juttatások</t>
  </si>
  <si>
    <t>Ellátottak pénzbeli juttatása</t>
  </si>
  <si>
    <t>Támogatás értékű és átadott pénzeszköz</t>
  </si>
  <si>
    <t>Felhalmo-   zási   kiadások</t>
  </si>
  <si>
    <t>Hitel visszafi-zetés</t>
  </si>
  <si>
    <t>Felhalmo-  zási bevétel</t>
  </si>
  <si>
    <t>Támogatás  értékű és átvett pénzeszköz</t>
  </si>
  <si>
    <t>Kölcsönök vissza-   térülése</t>
  </si>
  <si>
    <t>Függő, átfutó kiadás</t>
  </si>
  <si>
    <t>Dologi és egyéb folyó kiadás</t>
  </si>
  <si>
    <t>Költség- vetési szervnek folyósított támogatás</t>
  </si>
  <si>
    <t>Költség-  vetési támogatás</t>
  </si>
  <si>
    <t>1. Bevételek</t>
  </si>
  <si>
    <t xml:space="preserve">Bevételek </t>
  </si>
  <si>
    <t>I.   Működési bevételek</t>
  </si>
  <si>
    <t xml:space="preserve">    1.  Intézményi működési bevételek</t>
  </si>
  <si>
    <t xml:space="preserve">        OEP finansz. intézmény működési bevétel</t>
  </si>
  <si>
    <t xml:space="preserve">    2. Önkormányzat sajátos működési bevételei</t>
  </si>
  <si>
    <t xml:space="preserve">       Iparűzési</t>
  </si>
  <si>
    <t xml:space="preserve">       Kommunális</t>
  </si>
  <si>
    <t xml:space="preserve">       Idegenforgalmi</t>
  </si>
  <si>
    <t xml:space="preserve">       Átengedett központi adó gépjármű</t>
  </si>
  <si>
    <t xml:space="preserve">       SZJA </t>
  </si>
  <si>
    <t xml:space="preserve">       Egyéb sajátos bevétel</t>
  </si>
  <si>
    <t xml:space="preserve">       Bírság, pótlék,egyéb</t>
  </si>
  <si>
    <t xml:space="preserve">       Központosított szociális támogatás</t>
  </si>
  <si>
    <t xml:space="preserve">       Központosított </t>
  </si>
  <si>
    <t>21.</t>
  </si>
  <si>
    <t>22.</t>
  </si>
  <si>
    <t>23.</t>
  </si>
  <si>
    <t>III. Felhalmozási és tőkejellegű bevételek</t>
  </si>
  <si>
    <t>24.</t>
  </si>
  <si>
    <t xml:space="preserve">     1. Tárgyi eszközök, immateriális javak értékesítése</t>
  </si>
  <si>
    <t>25.</t>
  </si>
  <si>
    <t xml:space="preserve">     2. Önkormányzat sajátos tőke jellegű bevétele</t>
  </si>
  <si>
    <t>26.</t>
  </si>
  <si>
    <t>27.</t>
  </si>
  <si>
    <t xml:space="preserve">     4. Egyéb felhalmozási célú bevételek</t>
  </si>
  <si>
    <t>28.</t>
  </si>
  <si>
    <t>29.</t>
  </si>
  <si>
    <t>30.</t>
  </si>
  <si>
    <t>31.</t>
  </si>
  <si>
    <t>32.</t>
  </si>
  <si>
    <t>33.</t>
  </si>
  <si>
    <t>34.</t>
  </si>
  <si>
    <t xml:space="preserve">    1. Működési célú pénzeszköz államháztartáson kívülről</t>
  </si>
  <si>
    <t>35.</t>
  </si>
  <si>
    <t xml:space="preserve">    2. Felhalmozási pénzeszköz államháztartáson kívülről</t>
  </si>
  <si>
    <t>36.</t>
  </si>
  <si>
    <t>37.</t>
  </si>
  <si>
    <t>38.</t>
  </si>
  <si>
    <t>Költségvetési bevételek összesen I+II+III+IV+V+VI</t>
  </si>
  <si>
    <t>39.</t>
  </si>
  <si>
    <t>VII. Pénzforgalom nélküli bevétel</t>
  </si>
  <si>
    <t>40.</t>
  </si>
  <si>
    <t xml:space="preserve">    1.1. Előző évi várható pénzmaradvány igénybevétel működési</t>
  </si>
  <si>
    <t>41.</t>
  </si>
  <si>
    <t xml:space="preserve">    1.2. Előző évi várható pénzmaradvány igénybevétel felhalmozási</t>
  </si>
  <si>
    <t>42.</t>
  </si>
  <si>
    <t xml:space="preserve">    2. Előző évek vállalkozási maradvány igénybevétele</t>
  </si>
  <si>
    <t>43.</t>
  </si>
  <si>
    <t>44.</t>
  </si>
  <si>
    <t>VIII. Értékpapírok értékesítése, kibocsátása</t>
  </si>
  <si>
    <t>45.</t>
  </si>
  <si>
    <t xml:space="preserve">   1. Forgatási célú értékpapírok bevételei</t>
  </si>
  <si>
    <t>46.</t>
  </si>
  <si>
    <t xml:space="preserve">   2. Befektetési célú értékpapírok bevételei</t>
  </si>
  <si>
    <t>47.</t>
  </si>
  <si>
    <t>IX. Kötvények kibocsátásának bevétele</t>
  </si>
  <si>
    <t>48.</t>
  </si>
  <si>
    <t>X. Hitelek</t>
  </si>
  <si>
    <t>49.</t>
  </si>
  <si>
    <t>50.</t>
  </si>
  <si>
    <t xml:space="preserve">    Likvid hitel felvétele</t>
  </si>
  <si>
    <t>51.</t>
  </si>
  <si>
    <t xml:space="preserve">    Felhalmozási célú hitel felvétele</t>
  </si>
  <si>
    <t>52.</t>
  </si>
  <si>
    <t>XI. Függő, átfutó bevételek</t>
  </si>
  <si>
    <t>53.</t>
  </si>
  <si>
    <t>54.</t>
  </si>
  <si>
    <t>Finanszírozási célú műveletek bevétele VIII+IX+X+XI</t>
  </si>
  <si>
    <t>55.</t>
  </si>
  <si>
    <t>Bevételek összesen 38+39+54</t>
  </si>
  <si>
    <t>2. Kiadások</t>
  </si>
  <si>
    <t xml:space="preserve">Kiadások </t>
  </si>
  <si>
    <t>56.</t>
  </si>
  <si>
    <t>57.</t>
  </si>
  <si>
    <t>58.</t>
  </si>
  <si>
    <t>59.</t>
  </si>
  <si>
    <t>60.</t>
  </si>
  <si>
    <t>61.</t>
  </si>
  <si>
    <t>62.</t>
  </si>
  <si>
    <t>63.</t>
  </si>
  <si>
    <t xml:space="preserve">      Személyi juttatások</t>
  </si>
  <si>
    <t>64.</t>
  </si>
  <si>
    <t xml:space="preserve">      Munkaadót terhelő járulék</t>
  </si>
  <si>
    <t>65.</t>
  </si>
  <si>
    <t xml:space="preserve">      Ellátottak pénzbeli juttatásai</t>
  </si>
  <si>
    <t>66.</t>
  </si>
  <si>
    <t xml:space="preserve">      Dologi és egyéb folyó kiadások</t>
  </si>
  <si>
    <t>67.</t>
  </si>
  <si>
    <t xml:space="preserve">      Normatív visszafizetés</t>
  </si>
  <si>
    <t>68.</t>
  </si>
  <si>
    <t xml:space="preserve">      Kamat kiadás</t>
  </si>
  <si>
    <t>69.</t>
  </si>
  <si>
    <t xml:space="preserve">      Támogatásértékű kiadás, működési pénzeszköz átadás</t>
  </si>
  <si>
    <t>70.</t>
  </si>
  <si>
    <t xml:space="preserve">  Társadalom- és szociálpolitikai juttatás</t>
  </si>
  <si>
    <t>71.</t>
  </si>
  <si>
    <t xml:space="preserve">  Kölcsönök nyújtása</t>
  </si>
  <si>
    <t>72.</t>
  </si>
  <si>
    <t xml:space="preserve">  Működési célú pénzmaradvány átadás</t>
  </si>
  <si>
    <t>73.</t>
  </si>
  <si>
    <t xml:space="preserve">  Garancia- és kezességvállalás kiadásai</t>
  </si>
  <si>
    <t>74.</t>
  </si>
  <si>
    <t>75.</t>
  </si>
  <si>
    <t>76.</t>
  </si>
  <si>
    <t xml:space="preserve">     Beruházások</t>
  </si>
  <si>
    <t>77.</t>
  </si>
  <si>
    <t xml:space="preserve">     Felújítások</t>
  </si>
  <si>
    <t>78.</t>
  </si>
  <si>
    <t xml:space="preserve"> Felhalmozási célú kamatkiadások</t>
  </si>
  <si>
    <t>79.</t>
  </si>
  <si>
    <t xml:space="preserve">     Támogatásértékű és felhalmozási pénzeszköz átadás</t>
  </si>
  <si>
    <t>80.</t>
  </si>
  <si>
    <t xml:space="preserve"> Felhalmozási célú kölcsönök nyújtása</t>
  </si>
  <si>
    <t>81.</t>
  </si>
  <si>
    <t xml:space="preserve">     Egyéb felhalmozási célú kiadások</t>
  </si>
  <si>
    <t>82.</t>
  </si>
  <si>
    <t xml:space="preserve"> Pénzügyi befektetések kiadásai</t>
  </si>
  <si>
    <t>83.</t>
  </si>
  <si>
    <t xml:space="preserve"> Felhalmozási célú pénzmaradvány átadás</t>
  </si>
  <si>
    <t>84.</t>
  </si>
  <si>
    <t>85.</t>
  </si>
  <si>
    <t>III. Tartalék</t>
  </si>
  <si>
    <t>86.</t>
  </si>
  <si>
    <t>87.</t>
  </si>
  <si>
    <t>88.</t>
  </si>
  <si>
    <t>89.</t>
  </si>
  <si>
    <t>IV. Egyéb kiadások</t>
  </si>
  <si>
    <t>90.</t>
  </si>
  <si>
    <t>Költségvetési kiadások összesen I+II+III+IV</t>
  </si>
  <si>
    <t>91.</t>
  </si>
  <si>
    <t>V. Hitelek törlesztése</t>
  </si>
  <si>
    <t>92.</t>
  </si>
  <si>
    <t xml:space="preserve">      Felhalmozási célú hitel törlesztése</t>
  </si>
  <si>
    <t>93.</t>
  </si>
  <si>
    <t xml:space="preserve">      Működési célú hitel törlesztés</t>
  </si>
  <si>
    <t>94.</t>
  </si>
  <si>
    <t xml:space="preserve">      Likvid hitelek törlesztése</t>
  </si>
  <si>
    <t>95.</t>
  </si>
  <si>
    <t>Vi. Értékpapírok beváltása, vásárlása</t>
  </si>
  <si>
    <t>96.</t>
  </si>
  <si>
    <t xml:space="preserve">  Forgatási célú értékpapír beváltása, vásárlása</t>
  </si>
  <si>
    <t>97.</t>
  </si>
  <si>
    <t xml:space="preserve">  Befektetési célú értékpapír beváltása, vásárlása</t>
  </si>
  <si>
    <t>98.</t>
  </si>
  <si>
    <t>VII.Függő, átfutó kiadások</t>
  </si>
  <si>
    <t>99.</t>
  </si>
  <si>
    <t>Finanszírozási célú műveletek kiadása V+VI+VII</t>
  </si>
  <si>
    <t>100.</t>
  </si>
  <si>
    <t>101.</t>
  </si>
  <si>
    <t>102.</t>
  </si>
  <si>
    <t>FINANSZÍROZÁSI CÉLÚ MŰVELETEK EGYENLEGE 54-99</t>
  </si>
  <si>
    <r>
      <t xml:space="preserve">    </t>
    </r>
    <r>
      <rPr>
        <sz val="8"/>
        <rFont val="Arial CE"/>
        <family val="2"/>
      </rPr>
      <t xml:space="preserve"> 2. Támogatás értékű felhalmozási bevétel</t>
    </r>
  </si>
  <si>
    <t>Munkaadókat terhelő járulék</t>
  </si>
  <si>
    <t>Támogatásértékű bevételek</t>
  </si>
  <si>
    <t xml:space="preserve">    Normatív visszafizetés</t>
  </si>
  <si>
    <t>Működési célú pénzeszköz átvétel</t>
  </si>
  <si>
    <t>Működési célú kamatkiadások</t>
  </si>
  <si>
    <t>Társadalom- és szociálpolitikai juttatás</t>
  </si>
  <si>
    <t>Működési célú kölcsön nyújtása</t>
  </si>
  <si>
    <t>Pénzmaradvány átadás</t>
  </si>
  <si>
    <t>Tartalékok</t>
  </si>
  <si>
    <t>Költségvetési bevételek összesen:</t>
  </si>
  <si>
    <t>Költségvetési kiadások összesen:</t>
  </si>
  <si>
    <t>Előző évi működési célú pénzmaradvány igénybevétele</t>
  </si>
  <si>
    <t>Rövid lejáratú hitelek törlesztése</t>
  </si>
  <si>
    <t>Likvid hitelek törlesztése</t>
  </si>
  <si>
    <t>Rövid lejáratú hitelek felvétel</t>
  </si>
  <si>
    <t>Hosszú lejáratú hitelek törlesztése</t>
  </si>
  <si>
    <t>Likvid hitelek felvétele</t>
  </si>
  <si>
    <t>Forgatási célú értékpapír beváltása</t>
  </si>
  <si>
    <t>Forgatási célú értékpapírok vásárlása</t>
  </si>
  <si>
    <t>Befektetési célú értékpapír beváltása</t>
  </si>
  <si>
    <t>Forgatási célú értékpapírok értékesítése</t>
  </si>
  <si>
    <t>Befektetési célú értékpapír kibocsátása</t>
  </si>
  <si>
    <t>Függő, átfutó, kiegyenlítő kiadások</t>
  </si>
  <si>
    <t>Függő, átfutó, kiegyenlítő bevételek</t>
  </si>
  <si>
    <t>Finanszírozási bevételek (16+…+24)</t>
  </si>
  <si>
    <t>Finanszírozási kiadások (14+…+24)</t>
  </si>
  <si>
    <t>ÖSSZES BEVÉTEL (13+14+15+25)</t>
  </si>
  <si>
    <t>ÖSSZES KIADÁS (13+25)</t>
  </si>
  <si>
    <t>Költségvetési hiány:</t>
  </si>
  <si>
    <t>Költségvetési többlet:</t>
  </si>
  <si>
    <t>Intézményi beruházás</t>
  </si>
  <si>
    <t>Támogatásértékű felhalmozási kiadás</t>
  </si>
  <si>
    <t>Felhalmozási célú pénzeszközátadás</t>
  </si>
  <si>
    <t>Cél-, címzett és egyéb központi támogatás</t>
  </si>
  <si>
    <t>Pénzügyi befektetések kiadásai</t>
  </si>
  <si>
    <t>Fejlesztési és vis maior támogatás</t>
  </si>
  <si>
    <t>Felhalmozási célú kamatkiadások</t>
  </si>
  <si>
    <t>Egyéb kiadások</t>
  </si>
  <si>
    <t>Fejlesztések visszaigényelhető áfája</t>
  </si>
  <si>
    <t>Előző évi felh. célú pénzm. igénybev.</t>
  </si>
  <si>
    <t>Forgatási célú értékpapír kibocsátása</t>
  </si>
  <si>
    <t>Finanszírozási célú bevétel (14+…+22)</t>
  </si>
  <si>
    <t>Finanszírozási célú kiadás (13+...+22)</t>
  </si>
  <si>
    <t>BEVÉTELEK ÖSSZESEN (12+13+23)</t>
  </si>
  <si>
    <t>KIADÁSOK ÖSSZESEN (12+23)</t>
  </si>
  <si>
    <t>Támogatás és átadott pénzeszköz</t>
  </si>
  <si>
    <t>Közhasznú és közcélú foglalkoztatás</t>
  </si>
  <si>
    <t>Tevékenység</t>
  </si>
  <si>
    <t>841-126</t>
  </si>
  <si>
    <t>841-112</t>
  </si>
  <si>
    <t>890-442</t>
  </si>
  <si>
    <t>890-441</t>
  </si>
  <si>
    <t>931-201</t>
  </si>
  <si>
    <t>842-155</t>
  </si>
  <si>
    <t>841-191</t>
  </si>
  <si>
    <t>841-192</t>
  </si>
  <si>
    <t>910-501</t>
  </si>
  <si>
    <t>Civil szervezetek támogatása</t>
  </si>
  <si>
    <t>890-301</t>
  </si>
  <si>
    <t>890-115</t>
  </si>
  <si>
    <t>Sportegyesületek támogatása</t>
  </si>
  <si>
    <t>Polgárőrség támogatása</t>
  </si>
  <si>
    <t>Rendőrség támogatása</t>
  </si>
  <si>
    <t>1. Az önkormányzathoz tartozó intézmények felhalmozási bevételei</t>
  </si>
  <si>
    <t>Városközpont funkcióbővítő fejlesztése ÉAOP-5.1.1/D támogatás</t>
  </si>
  <si>
    <t>Városközpont funkcióbővítő fejlesztéséhez kötvény felhasználás</t>
  </si>
  <si>
    <t>Számítástechn.eszközbeszerzés(okt. intézm.)TIOP-1.1.1-07/1 támogatás</t>
  </si>
  <si>
    <t>Önkormányzati vagyon, egyéb helyiségek bérbeadásának bevétele</t>
  </si>
  <si>
    <t>Felhalmozási célú kamatbevételek</t>
  </si>
  <si>
    <t>2. Az önkormányzathoz tartozó intézmények felhalmozási kiadásai</t>
  </si>
  <si>
    <t xml:space="preserve">Időskorúak és fogyatékkal élők nappali ellátása </t>
  </si>
  <si>
    <t>Számítástechnikai eszközök beszerzése oktatási intézmények részére</t>
  </si>
  <si>
    <r>
      <t xml:space="preserve">         </t>
    </r>
    <r>
      <rPr>
        <sz val="8"/>
        <rFont val="Arial CE"/>
        <family val="2"/>
      </rPr>
      <t>ebből TB alaptól átvett</t>
    </r>
  </si>
  <si>
    <t>J</t>
  </si>
  <si>
    <t xml:space="preserve">      Önkormányzat</t>
  </si>
  <si>
    <t>Önkormányzat</t>
  </si>
  <si>
    <t>2009. évi tény</t>
  </si>
  <si>
    <t>Telj.     %</t>
  </si>
  <si>
    <t>Önkorm. sajátos működési bevételei</t>
  </si>
  <si>
    <t>Működési célú kölcsön visszatérül.</t>
  </si>
  <si>
    <t>Támogatásért.kiadás,pénzeszköz átad</t>
  </si>
  <si>
    <t>Garancia- és kezességváll. kiadása</t>
  </si>
  <si>
    <t>Költségvetési bevételek összesen</t>
  </si>
  <si>
    <t>Költségvetési kiadások összesen</t>
  </si>
  <si>
    <t>Előző é. vállalk.eredmény</t>
  </si>
  <si>
    <t>Forgatási célú értékpapírok kibocsát.</t>
  </si>
  <si>
    <t>Forgatási célú értékpapírok értékesít.</t>
  </si>
  <si>
    <t>Befektetési célú értékpapírok vásárl.</t>
  </si>
  <si>
    <t>Befektetési célú értékpapír kibocsát.</t>
  </si>
  <si>
    <t>Befektetési célú értékpapírok ért.</t>
  </si>
  <si>
    <t>Tárgyi eszközök, immat. javak értékesít.</t>
  </si>
  <si>
    <t>Önkorm. sajátos felhalmozási bevételei</t>
  </si>
  <si>
    <t>Pénzügyi befektetésekből szárm.bevétel</t>
  </si>
  <si>
    <t>Központosított előirányzat,AJTP normatíva</t>
  </si>
  <si>
    <t>Felhalmozási célú pénzmaradv.átad</t>
  </si>
  <si>
    <t>Átvett pénzeszköz államháztart. kívülről</t>
  </si>
  <si>
    <t>Befektetési célú értékpapírok értékesít.</t>
  </si>
  <si>
    <t>Tompos úti tagóvoda ÉAOP-4.1.1/A támogatás</t>
  </si>
  <si>
    <t>Beruházási felhalmozási kiadások :</t>
  </si>
  <si>
    <t>Felújítási felhalmozási kiadások :</t>
  </si>
  <si>
    <t>Egyéb felhalmozási kiadások :</t>
  </si>
  <si>
    <t>Szakf. száma</t>
  </si>
  <si>
    <t>Hiv.</t>
  </si>
  <si>
    <t>Önk.</t>
  </si>
  <si>
    <t>Össz.</t>
  </si>
  <si>
    <t>Ingatlankez.</t>
  </si>
  <si>
    <t>N. ünnepek prog.</t>
  </si>
  <si>
    <t>Kiemelt rendezvény</t>
  </si>
  <si>
    <t>További szakf.</t>
  </si>
  <si>
    <t>Szociális ellát.</t>
  </si>
  <si>
    <t>Igazgatási tev.</t>
  </si>
  <si>
    <t>Jogalkotás</t>
  </si>
  <si>
    <t>Városgazdálkodás</t>
  </si>
  <si>
    <t>Sport  támogatás</t>
  </si>
  <si>
    <t>Nemzetközi. kapcs.</t>
  </si>
  <si>
    <t>Közműv. tev. tám.</t>
  </si>
  <si>
    <t>Civil szerv. tám.</t>
  </si>
  <si>
    <t>Tehetségg. prog.</t>
  </si>
  <si>
    <t>Egyéb közfogl.</t>
  </si>
  <si>
    <t>Fogl. Hely. Tám.</t>
  </si>
  <si>
    <t>Rövid táv. Közfogl.</t>
  </si>
  <si>
    <t>5/1.</t>
  </si>
  <si>
    <t>5/2.</t>
  </si>
  <si>
    <t>5/3.</t>
  </si>
  <si>
    <t>Rétközi Múzeum</t>
  </si>
  <si>
    <t>2013. I. félévi címrend szerinti állományi létszámadatok</t>
  </si>
  <si>
    <t>2013. évi terv létszám</t>
  </si>
  <si>
    <t>2013.06.30 tény</t>
  </si>
  <si>
    <t>2012. évi tény</t>
  </si>
  <si>
    <t>2013. évi terv</t>
  </si>
  <si>
    <t>2013.06.30. teljesítés</t>
  </si>
  <si>
    <t>2012 évi tény</t>
  </si>
  <si>
    <t>2013. évi   terv</t>
  </si>
  <si>
    <t xml:space="preserve"> Az államháztartáson kívülre nyújtott támogatások teljesítésének részletezése 2013. I. félévben</t>
  </si>
  <si>
    <t>2013. 03.01-től</t>
  </si>
  <si>
    <t>2013. 07.01-től</t>
  </si>
  <si>
    <t>Állami támogatásokból felhalm. tám.</t>
  </si>
  <si>
    <t>Szennyvízcsatorna hálózat II. ütem 95 %-os tám. pályázat</t>
  </si>
  <si>
    <t>Kerékpárral Kisvárda és Ajak között támogatás</t>
  </si>
  <si>
    <t>Kerékpárral Kisvárda és Ajak között kötvény felhasználás</t>
  </si>
  <si>
    <t>VárosKözp. pályázat-Konf. Közp. kötvény felhasználás (ISZC tagi kölcsön)</t>
  </si>
  <si>
    <t>Várszínház és Művészetek Háza felhalmozási célú támogatása</t>
  </si>
  <si>
    <t>Városi Könyvtár felhalmozási célú támogatása</t>
  </si>
  <si>
    <t>Bölcsőde rekonstrukció ÉÁOP.4.1.3. pályázat</t>
  </si>
  <si>
    <t>Bölcsőde rekonstrukció kötvény felhasználás</t>
  </si>
  <si>
    <t>Öveges Program keretében Bessenyei Gy. G. Dr. Béres József Laboratórium korszerűsítése, működtetetése</t>
  </si>
  <si>
    <t>Kisvárdai óvodák fejlesztésének támogatása</t>
  </si>
  <si>
    <t>Térfigyelő kamerarendszer kialakít., kamerák beszerz. pénzmaradványból</t>
  </si>
  <si>
    <t>Köztéri műalkotás létrehozásának támogatása</t>
  </si>
  <si>
    <t>Komplex telep program (képzés+Tordai u. 20. sz. alatti fejlesztés+közösségi ház kialakítás pály. támogatás</t>
  </si>
  <si>
    <t>Bűnmegelőzési projekt (rendezvények+oktatás+kisért. tárgyi eszk.besz.)</t>
  </si>
  <si>
    <t>Rugalmas munkahelyek projekt (képzés+szakmai szolg.díja)</t>
  </si>
  <si>
    <t>Modellkísérlet a szoc. Alapszolg.feladatok funkcionális összekapcsolására (szakmai megvalósítók díja+kis értékű tárgyi eszk.besz)</t>
  </si>
  <si>
    <t>Darusziget u.csapadékvízelvezető csatorna építés körny.véd.alap(pénzmar.)</t>
  </si>
  <si>
    <t>Egészségügyi Alapellátás épület felújítás, akadálymentesítés támogatása</t>
  </si>
  <si>
    <t xml:space="preserve">Rétközi Múzeum TÁMOP 3.2.8.B-12/1 eszközbeszerzés támogatása </t>
  </si>
  <si>
    <t>Rétközi Múzeum TIOP-1.2.2-11/1. épület felújítás támogatása</t>
  </si>
  <si>
    <t>Települési folyékony hulladék elhelyezési díj</t>
  </si>
  <si>
    <t>Önkormányzat pénzmaradvány (kötvény, elkülönített számla)</t>
  </si>
  <si>
    <t xml:space="preserve">       Egyéb felhalm.célú tám. (adósságkonszolidáció) </t>
  </si>
  <si>
    <t>Iskolai int. Étkezet.</t>
  </si>
  <si>
    <t>562-913</t>
  </si>
  <si>
    <t xml:space="preserve">680-001      </t>
  </si>
  <si>
    <t>680-002</t>
  </si>
  <si>
    <t>Óvodai int. Étkeztet.</t>
  </si>
  <si>
    <t>562-912</t>
  </si>
  <si>
    <t>Szennyvízcsatorna hálózat II. pótl. terv, vagyonértékelés</t>
  </si>
  <si>
    <t>Kerékpár pályázat Kerékpárral Kisvárda és Ajak között</t>
  </si>
  <si>
    <t>Bölcsőde rekonstrukció</t>
  </si>
  <si>
    <t>Kisvárdai óvodák fejlesztése</t>
  </si>
  <si>
    <t>Térfigyelő kamerarendszer kialakítása, kamerák beszerzése</t>
  </si>
  <si>
    <t>Köztéri műalkotás létrehozása</t>
  </si>
  <si>
    <t>Komplex telep program (képzés+Tordai u. 20. sz. alatti fejlesztés+közösségi ház kialakítás</t>
  </si>
  <si>
    <t>Bűnmegelőzési projekt (rendezvények+oktatás+kisértékű tárgyi eszk.besz.)</t>
  </si>
  <si>
    <t>Belterületi csapadékvíz hálózat rekonstrukció tervkészítés</t>
  </si>
  <si>
    <t>Darusziget u.csapadékvízelvezető csatorna építés körny.véd.alap terhére</t>
  </si>
  <si>
    <t>Városi Könyvtár számtech. eszköz beszerzés</t>
  </si>
  <si>
    <t>Várszínház és Művészetek Háza eszközbeszerzés</t>
  </si>
  <si>
    <t>Rétközi Múzeum TÁMOP eszközbeszerzés</t>
  </si>
  <si>
    <t>Köztemető bővítéshez ingatlan vásárlás, kisajátítás</t>
  </si>
  <si>
    <t>Kisbusz vásárlás</t>
  </si>
  <si>
    <t>Tompos úti Tagóvoda felújítása</t>
  </si>
  <si>
    <t>Várszínház és Művészetek Háza felújítási költségei</t>
  </si>
  <si>
    <t>Egészségügyi Alapellátás épületének felújítása, akadálymentesítése</t>
  </si>
  <si>
    <t>Rétközi Múzeum TIOP épület felújítás</t>
  </si>
  <si>
    <t>Ingatlankezelés szakfeladat épületfelújítáas</t>
  </si>
  <si>
    <t>Utak, járdák felújítása</t>
  </si>
  <si>
    <t>Tagi kölcsön nyújtása ISZC Kht.</t>
  </si>
  <si>
    <t>Tartalék (kötvényből, elkülönített pénzeszközökből)</t>
  </si>
  <si>
    <t xml:space="preserve">2013.06.30. teljesítés </t>
  </si>
  <si>
    <t>NYÍRSÉGVÍZ részvényvásárlás</t>
  </si>
  <si>
    <t>Támogatott szervezet neve</t>
  </si>
  <si>
    <t>Támogatás célja</t>
  </si>
  <si>
    <t>közösségi tevékenység</t>
  </si>
  <si>
    <t>sporttevékenység</t>
  </si>
  <si>
    <t>közbiztonság</t>
  </si>
  <si>
    <t>ISZC KHT támogatása</t>
  </si>
  <si>
    <t xml:space="preserve">sport és önk. vagyonon végzett felújítás </t>
  </si>
  <si>
    <t>Intézményműködtető Kft. támogatása</t>
  </si>
  <si>
    <t>közokt. int. működtetés, közétkeztetés</t>
  </si>
  <si>
    <t>Ugat-lak Alapítvány támogatása</t>
  </si>
  <si>
    <t>állategészségügy</t>
  </si>
  <si>
    <t>Közművelődési tevékenységek támogatása</t>
  </si>
  <si>
    <t>oktatás, kultúra, kiadványok</t>
  </si>
  <si>
    <t>Házi orvosok támogatása</t>
  </si>
  <si>
    <t>eü. alapellátási tevékenység</t>
  </si>
  <si>
    <t>Városközpont funkcióbővítő fejlesztése</t>
  </si>
  <si>
    <t>Csőtisztító készülék vásárlás</t>
  </si>
  <si>
    <t>Ügyviteli számítástechnikai eszközök vásárlása (Bessenyei Arany J.)</t>
  </si>
  <si>
    <t>Kazánprogram (START munka)</t>
  </si>
  <si>
    <t xml:space="preserve">Szociális városrehab. terv </t>
  </si>
  <si>
    <t>Nappali ellátás eszközbeszerés</t>
  </si>
  <si>
    <t>Bevételek</t>
  </si>
  <si>
    <t>Adósságkonszolidáció</t>
  </si>
  <si>
    <t>Szennyvíz érdekeltségi hozzájárulás</t>
  </si>
  <si>
    <t>Közművelődési érdekeltségi hozzájárulás (Múzeum)</t>
  </si>
  <si>
    <t>Városközpont pályázat szoft prg.pénzeszköz átadás</t>
  </si>
  <si>
    <t>Start munkhoz pótkocsi, öntözőtartály</t>
  </si>
  <si>
    <t>Mezőgazdasági projecthez eszköz vásárlás</t>
  </si>
  <si>
    <t>Ingatlankezelés szakfeladat épületfelújítás (Tordai út 20. áthúzódó)</t>
  </si>
  <si>
    <t>ÁFA visszatérülés</t>
  </si>
  <si>
    <t>Könyvtár felhalmozási c. támogatásért.bevétel</t>
  </si>
  <si>
    <t>Startmunkához saját erő (kisteherautó vásárlás)</t>
  </si>
  <si>
    <t>Szociális Szolgálat felújítása</t>
  </si>
  <si>
    <t>Start munka felhalmozási célú támogatásértékű bevétel</t>
  </si>
  <si>
    <t xml:space="preserve">G </t>
  </si>
  <si>
    <t>K</t>
  </si>
  <si>
    <t>L</t>
  </si>
  <si>
    <t>Várday István Városi Könyvtár</t>
  </si>
  <si>
    <t xml:space="preserve">       Felhalmozási ktgvetési támogatás</t>
  </si>
  <si>
    <t>Felhalmozási ktgvetési támogatás</t>
  </si>
  <si>
    <t xml:space="preserve">2013.06.30. hat. mód. </t>
  </si>
  <si>
    <t>2013.06.30. hat.mód.</t>
  </si>
  <si>
    <t>Normatív visszafizetés</t>
  </si>
  <si>
    <t xml:space="preserve">    Működési célú hitel felvétele (konszolidáció)</t>
  </si>
  <si>
    <t xml:space="preserve">      Kötvény törlesztés</t>
  </si>
  <si>
    <t>103.</t>
  </si>
  <si>
    <t>Kiadások összesen 89+99</t>
  </si>
  <si>
    <t>KÖLTSÉGVETÉSI HIÁNY, TÖBBLET 38-89</t>
  </si>
  <si>
    <t>Kötvény törlesztés</t>
  </si>
  <si>
    <t xml:space="preserve">       Egyéb működési célú tám. (adósságkonszolidáció) </t>
  </si>
  <si>
    <t>Felhalmozási célú hitel törlesztése</t>
  </si>
  <si>
    <t>2013.évi módosított</t>
  </si>
  <si>
    <t>Sor-szám</t>
  </si>
</sst>
</file>

<file path=xl/styles.xml><?xml version="1.0" encoding="utf-8"?>
<styleSheet xmlns="http://schemas.openxmlformats.org/spreadsheetml/2006/main">
  <numFmts count="4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_(* #,##0.000_);_(* \(#,##0.000\);_(* &quot;-&quot;??_);_(@_)"/>
    <numFmt numFmtId="176" formatCode="#,##0.0"/>
    <numFmt numFmtId="177" formatCode="0.00000"/>
    <numFmt numFmtId="178" formatCode="_-* #,##0.0\ _F_t_-;\-* #,##0.0\ _F_t_-;_-* &quot;-&quot;??\ _F_t_-;_-@_-"/>
    <numFmt numFmtId="179" formatCode="_-* #,##0\ _F_t_-;\-* #,##0\ _F_t_-;_-* &quot;-&quot;??\ _F_t_-;_-@_-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0.000000"/>
    <numFmt numFmtId="184" formatCode="&quot;H-&quot;0000"/>
    <numFmt numFmtId="185" formatCode="0.0000000"/>
    <numFmt numFmtId="186" formatCode="#,##0\ &quot;Ft&quot;"/>
    <numFmt numFmtId="187" formatCode="0.0%"/>
    <numFmt numFmtId="188" formatCode="m\.\ d\."/>
    <numFmt numFmtId="189" formatCode="mmm/yyyy"/>
    <numFmt numFmtId="190" formatCode="#,##0_ ;\-#,##0\ "/>
    <numFmt numFmtId="191" formatCode="#,###"/>
    <numFmt numFmtId="192" formatCode="_-* #,##0.00\ _F_t_-;\-* #,##0.00\ _F_t_-;_-* \-??\ _F_t_-;_-@_-"/>
    <numFmt numFmtId="193" formatCode="yyyy\-mm\-dd"/>
    <numFmt numFmtId="194" formatCode="#"/>
    <numFmt numFmtId="195" formatCode="#,##0.000"/>
    <numFmt numFmtId="196" formatCode="#,##0.0000"/>
    <numFmt numFmtId="197" formatCode="00"/>
    <numFmt numFmtId="198" formatCode="[$€-2]\ #\ ##,000_);[Red]\([$€-2]\ #\ ##,000\)"/>
    <numFmt numFmtId="199" formatCode="[$-40E]yyyy\.\ mmmm\ d\."/>
    <numFmt numFmtId="200" formatCode="yyyy\-mm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0"/>
      <name val="Arial"/>
      <family val="0"/>
    </font>
    <font>
      <b/>
      <sz val="12"/>
      <name val="Times New Roman"/>
      <family val="1"/>
    </font>
    <font>
      <b/>
      <sz val="12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E"/>
      <family val="0"/>
    </font>
    <font>
      <b/>
      <i/>
      <sz val="12"/>
      <name val="Times New Roman"/>
      <family val="1"/>
    </font>
    <font>
      <b/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11"/>
      <name val="Times New Roman"/>
      <family val="1"/>
    </font>
    <font>
      <i/>
      <sz val="10"/>
      <name val="Arial CE"/>
      <family val="2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2"/>
      <name val="Times New Roman CE"/>
      <family val="0"/>
    </font>
    <font>
      <b/>
      <sz val="8"/>
      <name val="Arial CE"/>
      <family val="2"/>
    </font>
    <font>
      <b/>
      <i/>
      <sz val="8"/>
      <name val="Arial CE"/>
      <family val="2"/>
    </font>
    <font>
      <b/>
      <i/>
      <sz val="9"/>
      <name val="Arial CE"/>
      <family val="2"/>
    </font>
    <font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8"/>
      <name val="Arial CE"/>
      <family val="2"/>
    </font>
    <font>
      <b/>
      <i/>
      <sz val="10"/>
      <name val="Times New Roman"/>
      <family val="1"/>
    </font>
    <font>
      <sz val="9"/>
      <name val="Times New Roman"/>
      <family val="1"/>
    </font>
    <font>
      <sz val="12"/>
      <name val="Arial CE"/>
      <family val="2"/>
    </font>
    <font>
      <b/>
      <sz val="9"/>
      <name val="Times New Roman"/>
      <family val="1"/>
    </font>
    <font>
      <i/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8" fillId="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19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4" fillId="4" borderId="7" applyNumberFormat="0" applyFont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9" borderId="0" applyNumberFormat="0" applyBorder="0" applyAlignment="0" applyProtection="0"/>
    <xf numFmtId="0" fontId="27" fillId="14" borderId="0" applyNumberFormat="0" applyBorder="0" applyAlignment="0" applyProtection="0"/>
    <xf numFmtId="0" fontId="37" fillId="15" borderId="0" applyNumberFormat="0" applyBorder="0" applyAlignment="0" applyProtection="0"/>
    <xf numFmtId="0" fontId="38" fillId="16" borderId="8" applyNumberFormat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17" borderId="0" applyNumberFormat="0" applyBorder="0" applyAlignment="0" applyProtection="0"/>
    <xf numFmtId="0" fontId="42" fillId="7" borderId="0" applyNumberFormat="0" applyBorder="0" applyAlignment="0" applyProtection="0"/>
    <xf numFmtId="0" fontId="43" fillId="16" borderId="1" applyNumberFormat="0" applyAlignment="0" applyProtection="0"/>
    <xf numFmtId="9" fontId="0" fillId="0" borderId="0" applyFont="0" applyFill="0" applyBorder="0" applyAlignment="0" applyProtection="0"/>
  </cellStyleXfs>
  <cellXfs count="599">
    <xf numFmtId="0" fontId="0" fillId="0" borderId="0" xfId="0" applyAlignment="1">
      <alignment/>
    </xf>
    <xf numFmtId="0" fontId="0" fillId="0" borderId="0" xfId="60" applyFont="1">
      <alignment/>
      <protection/>
    </xf>
    <xf numFmtId="0" fontId="4" fillId="0" borderId="0" xfId="60" applyFont="1" applyBorder="1" applyAlignment="1">
      <alignment horizontal="centerContinuous"/>
      <protection/>
    </xf>
    <xf numFmtId="0" fontId="5" fillId="0" borderId="0" xfId="60" applyFont="1" applyBorder="1" applyAlignment="1">
      <alignment horizontal="centerContinuous"/>
      <protection/>
    </xf>
    <xf numFmtId="0" fontId="0" fillId="0" borderId="0" xfId="60" applyFont="1" applyBorder="1">
      <alignment/>
      <protection/>
    </xf>
    <xf numFmtId="0" fontId="6" fillId="0" borderId="0" xfId="60" applyFont="1" applyBorder="1">
      <alignment/>
      <protection/>
    </xf>
    <xf numFmtId="0" fontId="0" fillId="0" borderId="0" xfId="0" applyAlignment="1">
      <alignment horizontal="right"/>
    </xf>
    <xf numFmtId="0" fontId="7" fillId="0" borderId="0" xfId="60" applyFont="1" applyBorder="1">
      <alignment/>
      <protection/>
    </xf>
    <xf numFmtId="0" fontId="4" fillId="0" borderId="0" xfId="61" applyFont="1" applyAlignment="1">
      <alignment horizontal="centerContinuous"/>
      <protection/>
    </xf>
    <xf numFmtId="0" fontId="7" fillId="0" borderId="0" xfId="61" applyFont="1">
      <alignment/>
      <protection/>
    </xf>
    <xf numFmtId="0" fontId="6" fillId="0" borderId="0" xfId="61" applyFont="1">
      <alignment/>
      <protection/>
    </xf>
    <xf numFmtId="0" fontId="0" fillId="0" borderId="0" xfId="61">
      <alignment/>
      <protection/>
    </xf>
    <xf numFmtId="0" fontId="10" fillId="0" borderId="0" xfId="61" applyFont="1" applyAlignment="1">
      <alignment horizontal="centerContinuous" wrapText="1"/>
      <protection/>
    </xf>
    <xf numFmtId="0" fontId="0" fillId="0" borderId="0" xfId="65">
      <alignment/>
      <protection/>
    </xf>
    <xf numFmtId="3" fontId="12" fillId="0" borderId="10" xfId="65" applyNumberFormat="1" applyFont="1" applyBorder="1">
      <alignment/>
      <protection/>
    </xf>
    <xf numFmtId="3" fontId="11" fillId="0" borderId="10" xfId="65" applyNumberFormat="1" applyFont="1" applyBorder="1">
      <alignment/>
      <protection/>
    </xf>
    <xf numFmtId="0" fontId="10" fillId="0" borderId="0" xfId="65" applyFont="1">
      <alignment/>
      <protection/>
    </xf>
    <xf numFmtId="3" fontId="12" fillId="0" borderId="11" xfId="65" applyNumberFormat="1" applyFont="1" applyBorder="1">
      <alignment/>
      <protection/>
    </xf>
    <xf numFmtId="3" fontId="10" fillId="0" borderId="0" xfId="65" applyNumberFormat="1" applyFont="1">
      <alignment/>
      <protection/>
    </xf>
    <xf numFmtId="3" fontId="0" fillId="0" borderId="0" xfId="65" applyNumberFormat="1" applyBorder="1">
      <alignment/>
      <protection/>
    </xf>
    <xf numFmtId="3" fontId="0" fillId="0" borderId="0" xfId="65" applyNumberFormat="1">
      <alignment/>
      <protection/>
    </xf>
    <xf numFmtId="3" fontId="6" fillId="0" borderId="10" xfId="0" applyNumberFormat="1" applyFont="1" applyFill="1" applyBorder="1" applyAlignment="1">
      <alignment/>
    </xf>
    <xf numFmtId="0" fontId="14" fillId="0" borderId="0" xfId="0" applyFont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0" fontId="9" fillId="6" borderId="13" xfId="0" applyFont="1" applyFill="1" applyBorder="1" applyAlignment="1">
      <alignment/>
    </xf>
    <xf numFmtId="3" fontId="9" fillId="6" borderId="14" xfId="0" applyNumberFormat="1" applyFont="1" applyFill="1" applyBorder="1" applyAlignment="1">
      <alignment/>
    </xf>
    <xf numFmtId="0" fontId="0" fillId="0" borderId="0" xfId="62">
      <alignment/>
      <protection/>
    </xf>
    <xf numFmtId="0" fontId="0" fillId="0" borderId="0" xfId="62" applyFont="1">
      <alignment/>
      <protection/>
    </xf>
    <xf numFmtId="3" fontId="9" fillId="6" borderId="13" xfId="0" applyNumberFormat="1" applyFont="1" applyFill="1" applyBorder="1" applyAlignment="1">
      <alignment/>
    </xf>
    <xf numFmtId="3" fontId="6" fillId="16" borderId="10" xfId="0" applyNumberFormat="1" applyFont="1" applyFill="1" applyBorder="1" applyAlignment="1">
      <alignment/>
    </xf>
    <xf numFmtId="0" fontId="0" fillId="0" borderId="15" xfId="0" applyBorder="1" applyAlignment="1">
      <alignment/>
    </xf>
    <xf numFmtId="3" fontId="0" fillId="0" borderId="0" xfId="62" applyNumberFormat="1">
      <alignment/>
      <protection/>
    </xf>
    <xf numFmtId="0" fontId="5" fillId="0" borderId="0" xfId="61" applyFont="1" applyAlignment="1">
      <alignment horizontal="centerContinuous" wrapText="1"/>
      <protection/>
    </xf>
    <xf numFmtId="0" fontId="8" fillId="0" borderId="16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0" xfId="61" applyFont="1" applyBorder="1">
      <alignment/>
      <protection/>
    </xf>
    <xf numFmtId="0" fontId="6" fillId="0" borderId="0" xfId="60" applyFont="1" applyBorder="1" applyAlignment="1">
      <alignment horizontal="right"/>
      <protection/>
    </xf>
    <xf numFmtId="0" fontId="18" fillId="0" borderId="0" xfId="0" applyFont="1" applyAlignment="1">
      <alignment horizontal="right"/>
    </xf>
    <xf numFmtId="0" fontId="17" fillId="0" borderId="15" xfId="0" applyFont="1" applyBorder="1" applyAlignment="1">
      <alignment/>
    </xf>
    <xf numFmtId="0" fontId="12" fillId="0" borderId="17" xfId="65" applyFont="1" applyBorder="1">
      <alignment/>
      <protection/>
    </xf>
    <xf numFmtId="0" fontId="14" fillId="0" borderId="13" xfId="65" applyFont="1" applyBorder="1" applyAlignment="1">
      <alignment horizontal="center"/>
      <protection/>
    </xf>
    <xf numFmtId="0" fontId="14" fillId="0" borderId="0" xfId="60" applyFont="1" applyAlignment="1">
      <alignment horizontal="center" wrapText="1"/>
      <protection/>
    </xf>
    <xf numFmtId="0" fontId="14" fillId="0" borderId="14" xfId="65" applyFont="1" applyBorder="1" applyAlignment="1">
      <alignment horizontal="center"/>
      <protection/>
    </xf>
    <xf numFmtId="0" fontId="12" fillId="0" borderId="18" xfId="65" applyFont="1" applyBorder="1">
      <alignment/>
      <protection/>
    </xf>
    <xf numFmtId="0" fontId="22" fillId="0" borderId="19" xfId="65" applyFont="1" applyBorder="1">
      <alignment/>
      <protection/>
    </xf>
    <xf numFmtId="3" fontId="11" fillId="0" borderId="20" xfId="65" applyNumberFormat="1" applyFont="1" applyBorder="1">
      <alignment/>
      <protection/>
    </xf>
    <xf numFmtId="0" fontId="22" fillId="0" borderId="15" xfId="65" applyFont="1" applyBorder="1">
      <alignment/>
      <protection/>
    </xf>
    <xf numFmtId="0" fontId="14" fillId="0" borderId="15" xfId="65" applyFont="1" applyBorder="1">
      <alignment/>
      <protection/>
    </xf>
    <xf numFmtId="3" fontId="12" fillId="0" borderId="10" xfId="0" applyNumberFormat="1" applyFont="1" applyBorder="1" applyAlignment="1">
      <alignment/>
    </xf>
    <xf numFmtId="0" fontId="22" fillId="0" borderId="21" xfId="65" applyFont="1" applyBorder="1">
      <alignment/>
      <protection/>
    </xf>
    <xf numFmtId="0" fontId="12" fillId="0" borderId="22" xfId="65" applyFont="1" applyBorder="1">
      <alignment/>
      <protection/>
    </xf>
    <xf numFmtId="0" fontId="12" fillId="0" borderId="0" xfId="65" applyFont="1">
      <alignment/>
      <protection/>
    </xf>
    <xf numFmtId="3" fontId="12" fillId="0" borderId="0" xfId="65" applyNumberFormat="1" applyFont="1">
      <alignment/>
      <protection/>
    </xf>
    <xf numFmtId="0" fontId="25" fillId="0" borderId="0" xfId="60" applyFont="1" applyAlignment="1">
      <alignment horizontal="center" wrapText="1"/>
      <protection/>
    </xf>
    <xf numFmtId="191" fontId="14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22" fillId="0" borderId="15" xfId="65" applyFont="1" applyBorder="1" applyAlignment="1">
      <alignment vertical="center"/>
      <protection/>
    </xf>
    <xf numFmtId="3" fontId="11" fillId="6" borderId="14" xfId="65" applyNumberFormat="1" applyFont="1" applyFill="1" applyBorder="1">
      <alignment/>
      <protection/>
    </xf>
    <xf numFmtId="3" fontId="11" fillId="0" borderId="14" xfId="65" applyNumberFormat="1" applyFont="1" applyBorder="1">
      <alignment/>
      <protection/>
    </xf>
    <xf numFmtId="0" fontId="22" fillId="0" borderId="13" xfId="65" applyFont="1" applyBorder="1" applyAlignment="1">
      <alignment horizontal="left" indent="1"/>
      <protection/>
    </xf>
    <xf numFmtId="0" fontId="8" fillId="0" borderId="23" xfId="61" applyFont="1" applyBorder="1">
      <alignment/>
      <protection/>
    </xf>
    <xf numFmtId="0" fontId="8" fillId="0" borderId="24" xfId="61" applyFont="1" applyBorder="1">
      <alignment/>
      <protection/>
    </xf>
    <xf numFmtId="0" fontId="8" fillId="0" borderId="12" xfId="61" applyFont="1" applyBorder="1">
      <alignment/>
      <protection/>
    </xf>
    <xf numFmtId="0" fontId="8" fillId="0" borderId="25" xfId="61" applyFont="1" applyBorder="1">
      <alignment/>
      <protection/>
    </xf>
    <xf numFmtId="0" fontId="0" fillId="0" borderId="0" xfId="60" applyBorder="1">
      <alignment/>
      <protection/>
    </xf>
    <xf numFmtId="0" fontId="8" fillId="0" borderId="15" xfId="60" applyFont="1" applyBorder="1" applyAlignment="1">
      <alignment horizontal="center"/>
      <protection/>
    </xf>
    <xf numFmtId="0" fontId="8" fillId="0" borderId="26" xfId="60" applyFont="1" applyBorder="1" applyAlignment="1">
      <alignment horizontal="center"/>
      <protection/>
    </xf>
    <xf numFmtId="3" fontId="6" fillId="6" borderId="14" xfId="0" applyNumberFormat="1" applyFont="1" applyFill="1" applyBorder="1" applyAlignment="1">
      <alignment/>
    </xf>
    <xf numFmtId="3" fontId="15" fillId="6" borderId="27" xfId="62" applyNumberFormat="1" applyFont="1" applyFill="1" applyBorder="1">
      <alignment/>
      <protection/>
    </xf>
    <xf numFmtId="0" fontId="22" fillId="0" borderId="27" xfId="62" applyFont="1" applyBorder="1" applyAlignment="1">
      <alignment horizontal="center" vertical="center" wrapText="1"/>
      <protection/>
    </xf>
    <xf numFmtId="0" fontId="0" fillId="0" borderId="0" xfId="65" applyAlignment="1">
      <alignment horizontal="center" vertical="center" wrapText="1"/>
      <protection/>
    </xf>
    <xf numFmtId="0" fontId="12" fillId="0" borderId="28" xfId="65" applyFont="1" applyBorder="1" applyAlignment="1">
      <alignment horizontal="center" vertical="center" wrapText="1"/>
      <protection/>
    </xf>
    <xf numFmtId="0" fontId="0" fillId="0" borderId="13" xfId="65" applyBorder="1">
      <alignment/>
      <protection/>
    </xf>
    <xf numFmtId="3" fontId="12" fillId="0" borderId="14" xfId="65" applyNumberFormat="1" applyFont="1" applyBorder="1">
      <alignment/>
      <protection/>
    </xf>
    <xf numFmtId="0" fontId="22" fillId="6" borderId="13" xfId="65" applyFont="1" applyFill="1" applyBorder="1">
      <alignment/>
      <protection/>
    </xf>
    <xf numFmtId="0" fontId="0" fillId="0" borderId="0" xfId="63">
      <alignment/>
      <protection/>
    </xf>
    <xf numFmtId="0" fontId="0" fillId="0" borderId="0" xfId="63" applyFill="1" applyBorder="1">
      <alignment/>
      <protection/>
    </xf>
    <xf numFmtId="3" fontId="0" fillId="0" borderId="0" xfId="63" applyNumberFormat="1" applyFont="1" applyBorder="1">
      <alignment/>
      <protection/>
    </xf>
    <xf numFmtId="0" fontId="0" fillId="0" borderId="0" xfId="63" applyBorder="1">
      <alignment/>
      <protection/>
    </xf>
    <xf numFmtId="3" fontId="0" fillId="0" borderId="0" xfId="63" applyNumberFormat="1">
      <alignment/>
      <protection/>
    </xf>
    <xf numFmtId="3" fontId="0" fillId="0" borderId="0" xfId="65" applyNumberFormat="1" applyAlignment="1">
      <alignment horizontal="center" vertical="center" wrapText="1"/>
      <protection/>
    </xf>
    <xf numFmtId="3" fontId="14" fillId="0" borderId="0" xfId="60" applyNumberFormat="1" applyFont="1" applyAlignment="1">
      <alignment horizontal="center" wrapText="1"/>
      <protection/>
    </xf>
    <xf numFmtId="3" fontId="25" fillId="0" borderId="0" xfId="60" applyNumberFormat="1" applyFont="1" applyAlignment="1">
      <alignment horizontal="center" wrapText="1"/>
      <protection/>
    </xf>
    <xf numFmtId="0" fontId="22" fillId="0" borderId="13" xfId="62" applyFont="1" applyBorder="1" applyAlignment="1">
      <alignment horizontal="center" vertical="center" wrapText="1"/>
      <protection/>
    </xf>
    <xf numFmtId="1" fontId="6" fillId="16" borderId="12" xfId="0" applyNumberFormat="1" applyFont="1" applyFill="1" applyBorder="1" applyAlignment="1">
      <alignment horizontal="right"/>
    </xf>
    <xf numFmtId="3" fontId="0" fillId="0" borderId="0" xfId="65" applyNumberFormat="1" applyFont="1" applyAlignment="1">
      <alignment horizontal="center"/>
      <protection/>
    </xf>
    <xf numFmtId="3" fontId="0" fillId="0" borderId="0" xfId="65" applyNumberFormat="1" applyFont="1" applyBorder="1" applyAlignment="1">
      <alignment horizontal="center"/>
      <protection/>
    </xf>
    <xf numFmtId="0" fontId="19" fillId="6" borderId="13" xfId="0" applyFont="1" applyFill="1" applyBorder="1" applyAlignment="1">
      <alignment/>
    </xf>
    <xf numFmtId="1" fontId="9" fillId="6" borderId="27" xfId="0" applyNumberFormat="1" applyFont="1" applyFill="1" applyBorder="1" applyAlignment="1">
      <alignment horizontal="right"/>
    </xf>
    <xf numFmtId="3" fontId="6" fillId="16" borderId="15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0" fontId="8" fillId="0" borderId="19" xfId="60" applyFont="1" applyBorder="1" applyAlignment="1">
      <alignment horizontal="center"/>
      <protection/>
    </xf>
    <xf numFmtId="49" fontId="8" fillId="0" borderId="15" xfId="61" applyNumberFormat="1" applyFont="1" applyBorder="1" applyAlignment="1">
      <alignment horizontal="center"/>
      <protection/>
    </xf>
    <xf numFmtId="0" fontId="8" fillId="0" borderId="21" xfId="0" applyFont="1" applyBorder="1" applyAlignment="1">
      <alignment horizontal="center"/>
    </xf>
    <xf numFmtId="0" fontId="8" fillId="0" borderId="11" xfId="61" applyFont="1" applyBorder="1">
      <alignment/>
      <protection/>
    </xf>
    <xf numFmtId="0" fontId="8" fillId="0" borderId="29" xfId="0" applyFont="1" applyBorder="1" applyAlignment="1">
      <alignment/>
    </xf>
    <xf numFmtId="49" fontId="8" fillId="0" borderId="19" xfId="61" applyNumberFormat="1" applyFont="1" applyBorder="1" applyAlignment="1">
      <alignment horizontal="center"/>
      <protection/>
    </xf>
    <xf numFmtId="49" fontId="8" fillId="0" borderId="21" xfId="61" applyNumberFormat="1" applyFont="1" applyBorder="1" applyAlignment="1">
      <alignment horizontal="center"/>
      <protection/>
    </xf>
    <xf numFmtId="0" fontId="0" fillId="0" borderId="0" xfId="66">
      <alignment/>
      <protection/>
    </xf>
    <xf numFmtId="0" fontId="10" fillId="0" borderId="0" xfId="66" applyFont="1">
      <alignment/>
      <protection/>
    </xf>
    <xf numFmtId="0" fontId="0" fillId="0" borderId="0" xfId="58">
      <alignment/>
      <protection/>
    </xf>
    <xf numFmtId="0" fontId="17" fillId="0" borderId="15" xfId="60" applyFont="1" applyBorder="1">
      <alignment/>
      <protection/>
    </xf>
    <xf numFmtId="0" fontId="44" fillId="6" borderId="13" xfId="0" applyFont="1" applyFill="1" applyBorder="1" applyAlignment="1">
      <alignment/>
    </xf>
    <xf numFmtId="0" fontId="17" fillId="16" borderId="19" xfId="0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19" fillId="6" borderId="27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3" fontId="17" fillId="0" borderId="12" xfId="0" applyNumberFormat="1" applyFont="1" applyFill="1" applyBorder="1" applyAlignment="1">
      <alignment/>
    </xf>
    <xf numFmtId="3" fontId="17" fillId="0" borderId="10" xfId="0" applyNumberFormat="1" applyFont="1" applyBorder="1" applyAlignment="1">
      <alignment/>
    </xf>
    <xf numFmtId="3" fontId="17" fillId="0" borderId="12" xfId="0" applyNumberFormat="1" applyFont="1" applyBorder="1" applyAlignment="1">
      <alignment/>
    </xf>
    <xf numFmtId="3" fontId="44" fillId="6" borderId="14" xfId="0" applyNumberFormat="1" applyFont="1" applyFill="1" applyBorder="1" applyAlignment="1">
      <alignment/>
    </xf>
    <xf numFmtId="3" fontId="44" fillId="6" borderId="27" xfId="0" applyNumberFormat="1" applyFont="1" applyFill="1" applyBorder="1" applyAlignment="1">
      <alignment/>
    </xf>
    <xf numFmtId="3" fontId="0" fillId="0" borderId="0" xfId="43" applyNumberFormat="1" applyFont="1" applyFill="1" applyBorder="1" applyAlignment="1" applyProtection="1">
      <alignment/>
      <protection/>
    </xf>
    <xf numFmtId="0" fontId="0" fillId="0" borderId="0" xfId="63" applyFont="1" applyFill="1" applyBorder="1">
      <alignment/>
      <protection/>
    </xf>
    <xf numFmtId="3" fontId="0" fillId="0" borderId="0" xfId="63" applyNumberFormat="1" applyFill="1" applyBorder="1">
      <alignment/>
      <protection/>
    </xf>
    <xf numFmtId="0" fontId="13" fillId="0" borderId="0" xfId="63" applyFont="1" applyFill="1" applyBorder="1" applyAlignment="1">
      <alignment horizontal="left" vertical="center"/>
      <protection/>
    </xf>
    <xf numFmtId="3" fontId="10" fillId="0" borderId="0" xfId="63" applyNumberFormat="1" applyFont="1" applyFill="1" applyBorder="1" applyAlignment="1">
      <alignment horizontal="right" vertical="center"/>
      <protection/>
    </xf>
    <xf numFmtId="0" fontId="10" fillId="0" borderId="30" xfId="62" applyFont="1" applyBorder="1" applyAlignment="1">
      <alignment horizontal="center" vertical="center" wrapText="1"/>
      <protection/>
    </xf>
    <xf numFmtId="3" fontId="10" fillId="0" borderId="31" xfId="62" applyNumberFormat="1" applyFont="1" applyBorder="1" applyAlignment="1">
      <alignment horizontal="center" vertical="center" wrapText="1"/>
      <protection/>
    </xf>
    <xf numFmtId="0" fontId="10" fillId="0" borderId="31" xfId="62" applyFont="1" applyBorder="1" applyAlignment="1">
      <alignment horizontal="center" vertical="center" wrapText="1"/>
      <protection/>
    </xf>
    <xf numFmtId="3" fontId="0" fillId="0" borderId="10" xfId="62" applyNumberFormat="1" applyBorder="1">
      <alignment/>
      <protection/>
    </xf>
    <xf numFmtId="0" fontId="0" fillId="0" borderId="15" xfId="62" applyFont="1" applyBorder="1">
      <alignment/>
      <protection/>
    </xf>
    <xf numFmtId="3" fontId="17" fillId="0" borderId="11" xfId="0" applyNumberFormat="1" applyFont="1" applyBorder="1" applyAlignment="1">
      <alignment/>
    </xf>
    <xf numFmtId="3" fontId="17" fillId="0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14" fillId="0" borderId="18" xfId="65" applyFont="1" applyBorder="1">
      <alignment/>
      <protection/>
    </xf>
    <xf numFmtId="0" fontId="0" fillId="0" borderId="32" xfId="60" applyFont="1" applyBorder="1" applyAlignment="1">
      <alignment horizontal="center"/>
      <protection/>
    </xf>
    <xf numFmtId="0" fontId="0" fillId="0" borderId="33" xfId="60" applyFont="1" applyBorder="1" applyAlignment="1">
      <alignment horizontal="center"/>
      <protection/>
    </xf>
    <xf numFmtId="3" fontId="11" fillId="0" borderId="11" xfId="65" applyNumberFormat="1" applyFont="1" applyBorder="1">
      <alignment/>
      <protection/>
    </xf>
    <xf numFmtId="0" fontId="12" fillId="0" borderId="34" xfId="65" applyFont="1" applyBorder="1">
      <alignment/>
      <protection/>
    </xf>
    <xf numFmtId="0" fontId="22" fillId="6" borderId="31" xfId="65" applyFont="1" applyFill="1" applyBorder="1" applyAlignment="1">
      <alignment horizontal="center" vertical="center" wrapText="1"/>
      <protection/>
    </xf>
    <xf numFmtId="0" fontId="11" fillId="0" borderId="11" xfId="65" applyFont="1" applyBorder="1">
      <alignment/>
      <protection/>
    </xf>
    <xf numFmtId="0" fontId="17" fillId="16" borderId="18" xfId="0" applyFont="1" applyFill="1" applyBorder="1" applyAlignment="1">
      <alignment/>
    </xf>
    <xf numFmtId="0" fontId="17" fillId="0" borderId="18" xfId="0" applyFont="1" applyBorder="1" applyAlignment="1">
      <alignment/>
    </xf>
    <xf numFmtId="0" fontId="19" fillId="6" borderId="32" xfId="0" applyFont="1" applyFill="1" applyBorder="1" applyAlignment="1">
      <alignment/>
    </xf>
    <xf numFmtId="0" fontId="17" fillId="0" borderId="18" xfId="60" applyFont="1" applyBorder="1">
      <alignment/>
      <protection/>
    </xf>
    <xf numFmtId="1" fontId="6" fillId="16" borderId="35" xfId="0" applyNumberFormat="1" applyFont="1" applyFill="1" applyBorder="1" applyAlignment="1">
      <alignment horizontal="right"/>
    </xf>
    <xf numFmtId="3" fontId="6" fillId="16" borderId="36" xfId="0" applyNumberFormat="1" applyFont="1" applyFill="1" applyBorder="1" applyAlignment="1">
      <alignment/>
    </xf>
    <xf numFmtId="3" fontId="6" fillId="0" borderId="36" xfId="0" applyNumberFormat="1" applyFont="1" applyFill="1" applyBorder="1" applyAlignment="1">
      <alignment/>
    </xf>
    <xf numFmtId="3" fontId="9" fillId="6" borderId="37" xfId="0" applyNumberFormat="1" applyFont="1" applyFill="1" applyBorder="1" applyAlignment="1">
      <alignment/>
    </xf>
    <xf numFmtId="3" fontId="6" fillId="6" borderId="37" xfId="0" applyNumberFormat="1" applyFont="1" applyFill="1" applyBorder="1" applyAlignment="1">
      <alignment/>
    </xf>
    <xf numFmtId="1" fontId="45" fillId="0" borderId="0" xfId="67" applyNumberFormat="1" applyFont="1" applyBorder="1" applyAlignment="1">
      <alignment/>
      <protection/>
    </xf>
    <xf numFmtId="0" fontId="17" fillId="0" borderId="18" xfId="0" applyFont="1" applyFill="1" applyBorder="1" applyAlignment="1">
      <alignment/>
    </xf>
    <xf numFmtId="3" fontId="6" fillId="6" borderId="13" xfId="0" applyNumberFormat="1" applyFont="1" applyFill="1" applyBorder="1" applyAlignment="1">
      <alignment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14" fillId="0" borderId="38" xfId="62" applyFont="1" applyBorder="1">
      <alignment/>
      <protection/>
    </xf>
    <xf numFmtId="0" fontId="14" fillId="0" borderId="15" xfId="62" applyFont="1" applyBorder="1">
      <alignment/>
      <protection/>
    </xf>
    <xf numFmtId="0" fontId="23" fillId="6" borderId="13" xfId="62" applyFont="1" applyFill="1" applyBorder="1">
      <alignment/>
      <protection/>
    </xf>
    <xf numFmtId="0" fontId="14" fillId="0" borderId="21" xfId="62" applyFont="1" applyBorder="1">
      <alignment/>
      <protection/>
    </xf>
    <xf numFmtId="3" fontId="47" fillId="0" borderId="12" xfId="62" applyNumberFormat="1" applyFont="1" applyBorder="1" applyAlignment="1">
      <alignment horizontal="right"/>
      <protection/>
    </xf>
    <xf numFmtId="3" fontId="47" fillId="0" borderId="12" xfId="62" applyNumberFormat="1" applyFont="1" applyBorder="1" applyAlignment="1">
      <alignment horizontal="right" vertical="center" wrapText="1"/>
      <protection/>
    </xf>
    <xf numFmtId="3" fontId="47" fillId="0" borderId="12" xfId="62" applyNumberFormat="1" applyFont="1" applyBorder="1" applyAlignment="1">
      <alignment horizontal="right" wrapText="1"/>
      <protection/>
    </xf>
    <xf numFmtId="3" fontId="18" fillId="0" borderId="12" xfId="62" applyNumberFormat="1" applyFont="1" applyBorder="1">
      <alignment/>
      <protection/>
    </xf>
    <xf numFmtId="3" fontId="12" fillId="0" borderId="15" xfId="62" applyNumberFormat="1" applyFont="1" applyBorder="1">
      <alignment/>
      <protection/>
    </xf>
    <xf numFmtId="3" fontId="12" fillId="0" borderId="10" xfId="62" applyNumberFormat="1" applyFont="1" applyBorder="1">
      <alignment/>
      <protection/>
    </xf>
    <xf numFmtId="3" fontId="12" fillId="0" borderId="15" xfId="62" applyNumberFormat="1" applyFont="1" applyBorder="1" applyAlignment="1">
      <alignment horizontal="right" vertical="center"/>
      <protection/>
    </xf>
    <xf numFmtId="3" fontId="12" fillId="0" borderId="10" xfId="62" applyNumberFormat="1" applyFont="1" applyBorder="1" applyAlignment="1">
      <alignment horizontal="right" vertical="center"/>
      <protection/>
    </xf>
    <xf numFmtId="0" fontId="12" fillId="0" borderId="0" xfId="0" applyFont="1" applyAlignment="1">
      <alignment/>
    </xf>
    <xf numFmtId="3" fontId="12" fillId="0" borderId="36" xfId="62" applyNumberFormat="1" applyFont="1" applyBorder="1">
      <alignment/>
      <protection/>
    </xf>
    <xf numFmtId="3" fontId="12" fillId="0" borderId="36" xfId="62" applyNumberFormat="1" applyFont="1" applyBorder="1" applyAlignment="1">
      <alignment horizontal="right" vertical="center"/>
      <protection/>
    </xf>
    <xf numFmtId="3" fontId="12" fillId="0" borderId="39" xfId="62" applyNumberFormat="1" applyFont="1" applyBorder="1">
      <alignment/>
      <protection/>
    </xf>
    <xf numFmtId="3" fontId="12" fillId="0" borderId="40" xfId="62" applyNumberFormat="1" applyFont="1" applyBorder="1">
      <alignment/>
      <protection/>
    </xf>
    <xf numFmtId="3" fontId="47" fillId="0" borderId="16" xfId="62" applyNumberFormat="1" applyFont="1" applyBorder="1" applyAlignment="1">
      <alignment horizontal="right"/>
      <protection/>
    </xf>
    <xf numFmtId="3" fontId="12" fillId="0" borderId="26" xfId="62" applyNumberFormat="1" applyFont="1" applyBorder="1">
      <alignment/>
      <protection/>
    </xf>
    <xf numFmtId="3" fontId="12" fillId="0" borderId="38" xfId="62" applyNumberFormat="1" applyFont="1" applyBorder="1">
      <alignment/>
      <protection/>
    </xf>
    <xf numFmtId="3" fontId="12" fillId="0" borderId="41" xfId="62" applyNumberFormat="1" applyFont="1" applyBorder="1">
      <alignment/>
      <protection/>
    </xf>
    <xf numFmtId="3" fontId="12" fillId="0" borderId="23" xfId="62" applyNumberFormat="1" applyFont="1" applyBorder="1">
      <alignment/>
      <protection/>
    </xf>
    <xf numFmtId="3" fontId="24" fillId="6" borderId="14" xfId="62" applyNumberFormat="1" applyFont="1" applyFill="1" applyBorder="1">
      <alignment/>
      <protection/>
    </xf>
    <xf numFmtId="3" fontId="24" fillId="6" borderId="27" xfId="62" applyNumberFormat="1" applyFont="1" applyFill="1" applyBorder="1">
      <alignment/>
      <protection/>
    </xf>
    <xf numFmtId="3" fontId="12" fillId="6" borderId="12" xfId="62" applyNumberFormat="1" applyFont="1" applyFill="1" applyBorder="1">
      <alignment/>
      <protection/>
    </xf>
    <xf numFmtId="3" fontId="12" fillId="6" borderId="25" xfId="62" applyNumberFormat="1" applyFont="1" applyFill="1" applyBorder="1">
      <alignment/>
      <protection/>
    </xf>
    <xf numFmtId="3" fontId="12" fillId="6" borderId="16" xfId="62" applyNumberFormat="1" applyFont="1" applyFill="1" applyBorder="1">
      <alignment/>
      <protection/>
    </xf>
    <xf numFmtId="3" fontId="12" fillId="6" borderId="12" xfId="62" applyNumberFormat="1" applyFont="1" applyFill="1" applyBorder="1" applyAlignment="1">
      <alignment horizontal="right"/>
      <protection/>
    </xf>
    <xf numFmtId="3" fontId="12" fillId="6" borderId="25" xfId="62" applyNumberFormat="1" applyFont="1" applyFill="1" applyBorder="1" applyAlignment="1">
      <alignment horizontal="right"/>
      <protection/>
    </xf>
    <xf numFmtId="3" fontId="12" fillId="6" borderId="16" xfId="62" applyNumberFormat="1" applyFont="1" applyFill="1" applyBorder="1" applyAlignment="1">
      <alignment horizontal="right"/>
      <protection/>
    </xf>
    <xf numFmtId="3" fontId="12" fillId="6" borderId="35" xfId="62" applyNumberFormat="1" applyFont="1" applyFill="1" applyBorder="1">
      <alignment/>
      <protection/>
    </xf>
    <xf numFmtId="3" fontId="18" fillId="0" borderId="29" xfId="62" applyNumberFormat="1" applyFont="1" applyBorder="1">
      <alignment/>
      <protection/>
    </xf>
    <xf numFmtId="3" fontId="12" fillId="0" borderId="38" xfId="62" applyNumberFormat="1" applyFont="1" applyBorder="1" applyAlignment="1">
      <alignment horizontal="right"/>
      <protection/>
    </xf>
    <xf numFmtId="3" fontId="12" fillId="0" borderId="23" xfId="62" applyNumberFormat="1" applyFont="1" applyBorder="1" applyAlignment="1">
      <alignment horizontal="right"/>
      <protection/>
    </xf>
    <xf numFmtId="0" fontId="10" fillId="0" borderId="13" xfId="62" applyFont="1" applyBorder="1" applyAlignment="1">
      <alignment horizontal="center" vertical="center" wrapText="1"/>
      <protection/>
    </xf>
    <xf numFmtId="0" fontId="10" fillId="0" borderId="14" xfId="62" applyFont="1" applyBorder="1" applyAlignment="1">
      <alignment horizontal="center" vertical="center" wrapText="1"/>
      <protection/>
    </xf>
    <xf numFmtId="0" fontId="10" fillId="6" borderId="27" xfId="62" applyFont="1" applyFill="1" applyBorder="1" applyAlignment="1">
      <alignment horizontal="center" vertical="center" wrapText="1"/>
      <protection/>
    </xf>
    <xf numFmtId="0" fontId="10" fillId="0" borderId="42" xfId="62" applyFont="1" applyBorder="1" applyAlignment="1">
      <alignment horizontal="center" vertical="center" wrapText="1"/>
      <protection/>
    </xf>
    <xf numFmtId="3" fontId="24" fillId="6" borderId="13" xfId="62" applyNumberFormat="1" applyFont="1" applyFill="1" applyBorder="1">
      <alignment/>
      <protection/>
    </xf>
    <xf numFmtId="0" fontId="0" fillId="0" borderId="0" xfId="0" applyBorder="1" applyAlignment="1">
      <alignment/>
    </xf>
    <xf numFmtId="3" fontId="12" fillId="0" borderId="19" xfId="62" applyNumberFormat="1" applyFont="1" applyBorder="1">
      <alignment/>
      <protection/>
    </xf>
    <xf numFmtId="3" fontId="12" fillId="0" borderId="20" xfId="62" applyNumberFormat="1" applyFont="1" applyBorder="1">
      <alignment/>
      <protection/>
    </xf>
    <xf numFmtId="3" fontId="12" fillId="6" borderId="24" xfId="62" applyNumberFormat="1" applyFont="1" applyFill="1" applyBorder="1">
      <alignment/>
      <protection/>
    </xf>
    <xf numFmtId="3" fontId="12" fillId="0" borderId="21" xfId="62" applyNumberFormat="1" applyFont="1" applyBorder="1">
      <alignment/>
      <protection/>
    </xf>
    <xf numFmtId="3" fontId="12" fillId="0" borderId="11" xfId="62" applyNumberFormat="1" applyFont="1" applyBorder="1">
      <alignment/>
      <protection/>
    </xf>
    <xf numFmtId="3" fontId="12" fillId="6" borderId="29" xfId="62" applyNumberFormat="1" applyFont="1" applyFill="1" applyBorder="1">
      <alignment/>
      <protection/>
    </xf>
    <xf numFmtId="3" fontId="12" fillId="6" borderId="43" xfId="62" applyNumberFormat="1" applyFont="1" applyFill="1" applyBorder="1">
      <alignment/>
      <protection/>
    </xf>
    <xf numFmtId="3" fontId="12" fillId="6" borderId="44" xfId="62" applyNumberFormat="1" applyFont="1" applyFill="1" applyBorder="1">
      <alignment/>
      <protection/>
    </xf>
    <xf numFmtId="3" fontId="12" fillId="0" borderId="45" xfId="62" applyNumberFormat="1" applyFont="1" applyBorder="1">
      <alignment/>
      <protection/>
    </xf>
    <xf numFmtId="3" fontId="12" fillId="0" borderId="46" xfId="62" applyNumberFormat="1" applyFont="1" applyBorder="1">
      <alignment/>
      <protection/>
    </xf>
    <xf numFmtId="0" fontId="10" fillId="6" borderId="42" xfId="62" applyFont="1" applyFill="1" applyBorder="1" applyAlignment="1">
      <alignment horizontal="center" vertical="center" wrapText="1"/>
      <protection/>
    </xf>
    <xf numFmtId="3" fontId="12" fillId="0" borderId="10" xfId="62" applyNumberFormat="1" applyFont="1" applyBorder="1" applyAlignment="1">
      <alignment horizontal="right" wrapText="1"/>
      <protection/>
    </xf>
    <xf numFmtId="0" fontId="0" fillId="0" borderId="0" xfId="62" applyBorder="1">
      <alignment/>
      <protection/>
    </xf>
    <xf numFmtId="3" fontId="7" fillId="0" borderId="0" xfId="0" applyNumberFormat="1" applyFont="1" applyFill="1" applyBorder="1" applyAlignment="1">
      <alignment/>
    </xf>
    <xf numFmtId="3" fontId="48" fillId="0" borderId="0" xfId="0" applyNumberFormat="1" applyFont="1" applyFill="1" applyBorder="1" applyAlignment="1">
      <alignment/>
    </xf>
    <xf numFmtId="3" fontId="19" fillId="6" borderId="14" xfId="0" applyNumberFormat="1" applyFont="1" applyFill="1" applyBorder="1" applyAlignment="1">
      <alignment/>
    </xf>
    <xf numFmtId="17" fontId="7" fillId="0" borderId="0" xfId="0" applyNumberFormat="1" applyFont="1" applyAlignment="1">
      <alignment/>
    </xf>
    <xf numFmtId="0" fontId="0" fillId="0" borderId="0" xfId="62" applyFont="1" applyFill="1" applyBorder="1">
      <alignment/>
      <protection/>
    </xf>
    <xf numFmtId="0" fontId="23" fillId="0" borderId="0" xfId="62" applyFont="1" applyFill="1" applyBorder="1">
      <alignment/>
      <protection/>
    </xf>
    <xf numFmtId="3" fontId="15" fillId="0" borderId="0" xfId="62" applyNumberFormat="1" applyFont="1" applyFill="1" applyBorder="1">
      <alignment/>
      <protection/>
    </xf>
    <xf numFmtId="3" fontId="24" fillId="0" borderId="0" xfId="62" applyNumberFormat="1" applyFont="1" applyFill="1" applyBorder="1">
      <alignment/>
      <protection/>
    </xf>
    <xf numFmtId="3" fontId="12" fillId="0" borderId="0" xfId="62" applyNumberFormat="1" applyFont="1" applyFill="1" applyBorder="1">
      <alignment/>
      <protection/>
    </xf>
    <xf numFmtId="3" fontId="12" fillId="0" borderId="0" xfId="62" applyNumberFormat="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14" fillId="0" borderId="0" xfId="62" applyFont="1" applyFill="1" applyBorder="1">
      <alignment/>
      <protection/>
    </xf>
    <xf numFmtId="3" fontId="47" fillId="0" borderId="0" xfId="62" applyNumberFormat="1" applyFont="1" applyFill="1" applyBorder="1" applyAlignment="1">
      <alignment horizontal="right"/>
      <protection/>
    </xf>
    <xf numFmtId="0" fontId="22" fillId="0" borderId="0" xfId="62" applyFont="1" applyFill="1" applyBorder="1">
      <alignment/>
      <protection/>
    </xf>
    <xf numFmtId="3" fontId="13" fillId="0" borderId="0" xfId="62" applyNumberFormat="1" applyFont="1" applyFill="1" applyBorder="1">
      <alignment/>
      <protection/>
    </xf>
    <xf numFmtId="3" fontId="11" fillId="0" borderId="0" xfId="62" applyNumberFormat="1" applyFont="1" applyFill="1" applyBorder="1">
      <alignment/>
      <protection/>
    </xf>
    <xf numFmtId="0" fontId="12" fillId="0" borderId="0" xfId="0" applyFont="1" applyFill="1" applyBorder="1" applyAlignment="1">
      <alignment/>
    </xf>
    <xf numFmtId="0" fontId="0" fillId="0" borderId="33" xfId="62" applyBorder="1" applyAlignment="1">
      <alignment horizontal="right" vertical="center" wrapText="1"/>
      <protection/>
    </xf>
    <xf numFmtId="0" fontId="0" fillId="0" borderId="47" xfId="62" applyBorder="1" applyAlignment="1">
      <alignment horizontal="right" vertical="center" wrapText="1"/>
      <protection/>
    </xf>
    <xf numFmtId="0" fontId="0" fillId="0" borderId="48" xfId="62" applyFont="1" applyBorder="1" applyAlignment="1">
      <alignment horizontal="right"/>
      <protection/>
    </xf>
    <xf numFmtId="0" fontId="0" fillId="0" borderId="49" xfId="62" applyFont="1" applyBorder="1" applyAlignment="1">
      <alignment horizontal="right"/>
      <protection/>
    </xf>
    <xf numFmtId="0" fontId="7" fillId="0" borderId="0" xfId="62" applyFont="1">
      <alignment/>
      <protection/>
    </xf>
    <xf numFmtId="0" fontId="46" fillId="0" borderId="0" xfId="62" applyFont="1" applyAlignment="1">
      <alignment horizontal="center"/>
      <protection/>
    </xf>
    <xf numFmtId="0" fontId="50" fillId="0" borderId="0" xfId="62" applyFont="1">
      <alignment/>
      <protection/>
    </xf>
    <xf numFmtId="0" fontId="5" fillId="0" borderId="0" xfId="62" applyFont="1" applyAlignment="1">
      <alignment horizontal="center"/>
      <protection/>
    </xf>
    <xf numFmtId="0" fontId="7" fillId="0" borderId="0" xfId="67" applyFont="1" applyBorder="1" applyAlignment="1">
      <alignment/>
      <protection/>
    </xf>
    <xf numFmtId="3" fontId="0" fillId="0" borderId="0" xfId="0" applyNumberFormat="1" applyAlignment="1">
      <alignment/>
    </xf>
    <xf numFmtId="0" fontId="0" fillId="18" borderId="17" xfId="60" applyFont="1" applyFill="1" applyBorder="1" applyAlignment="1">
      <alignment horizontal="center"/>
      <protection/>
    </xf>
    <xf numFmtId="0" fontId="8" fillId="18" borderId="50" xfId="60" applyFont="1" applyFill="1" applyBorder="1" applyAlignment="1">
      <alignment horizontal="center"/>
      <protection/>
    </xf>
    <xf numFmtId="0" fontId="8" fillId="0" borderId="29" xfId="61" applyFont="1" applyBorder="1">
      <alignment/>
      <protection/>
    </xf>
    <xf numFmtId="0" fontId="8" fillId="0" borderId="51" xfId="0" applyFont="1" applyBorder="1" applyAlignment="1">
      <alignment horizontal="center"/>
    </xf>
    <xf numFmtId="3" fontId="16" fillId="0" borderId="52" xfId="61" applyNumberFormat="1" applyFont="1" applyBorder="1">
      <alignment/>
      <protection/>
    </xf>
    <xf numFmtId="3" fontId="16" fillId="0" borderId="53" xfId="61" applyNumberFormat="1" applyFont="1" applyBorder="1">
      <alignment/>
      <protection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3" fontId="17" fillId="0" borderId="20" xfId="0" applyNumberFormat="1" applyFont="1" applyBorder="1" applyAlignment="1">
      <alignment/>
    </xf>
    <xf numFmtId="3" fontId="17" fillId="0" borderId="20" xfId="0" applyNumberFormat="1" applyFont="1" applyFill="1" applyBorder="1" applyAlignment="1">
      <alignment/>
    </xf>
    <xf numFmtId="3" fontId="17" fillId="0" borderId="24" xfId="0" applyNumberFormat="1" applyFont="1" applyBorder="1" applyAlignment="1">
      <alignment/>
    </xf>
    <xf numFmtId="3" fontId="17" fillId="0" borderId="15" xfId="0" applyNumberFormat="1" applyFont="1" applyBorder="1" applyAlignment="1">
      <alignment/>
    </xf>
    <xf numFmtId="0" fontId="17" fillId="0" borderId="21" xfId="60" applyFont="1" applyBorder="1">
      <alignment/>
      <protection/>
    </xf>
    <xf numFmtId="3" fontId="17" fillId="0" borderId="29" xfId="0" applyNumberFormat="1" applyFont="1" applyBorder="1" applyAlignment="1">
      <alignment/>
    </xf>
    <xf numFmtId="0" fontId="17" fillId="0" borderId="19" xfId="0" applyFont="1" applyFill="1" applyBorder="1" applyAlignment="1">
      <alignment/>
    </xf>
    <xf numFmtId="0" fontId="17" fillId="0" borderId="21" xfId="0" applyFont="1" applyFill="1" applyBorder="1" applyAlignment="1">
      <alignment/>
    </xf>
    <xf numFmtId="0" fontId="8" fillId="6" borderId="14" xfId="61" applyFont="1" applyFill="1" applyBorder="1" applyAlignment="1">
      <alignment horizontal="center" vertical="center"/>
      <protection/>
    </xf>
    <xf numFmtId="0" fontId="8" fillId="6" borderId="14" xfId="61" applyFont="1" applyFill="1" applyBorder="1" applyAlignment="1">
      <alignment horizontal="center" vertical="center" wrapText="1"/>
      <protection/>
    </xf>
    <xf numFmtId="0" fontId="8" fillId="6" borderId="27" xfId="0" applyFont="1" applyFill="1" applyBorder="1" applyAlignment="1">
      <alignment horizontal="center" vertical="center" wrapText="1"/>
    </xf>
    <xf numFmtId="0" fontId="16" fillId="0" borderId="54" xfId="61" applyFont="1" applyBorder="1">
      <alignment/>
      <protection/>
    </xf>
    <xf numFmtId="14" fontId="8" fillId="18" borderId="14" xfId="61" applyNumberFormat="1" applyFont="1" applyFill="1" applyBorder="1" applyAlignment="1">
      <alignment horizontal="center" vertical="center" wrapText="1"/>
      <protection/>
    </xf>
    <xf numFmtId="3" fontId="12" fillId="0" borderId="10" xfId="66" applyNumberFormat="1" applyFont="1" applyBorder="1">
      <alignment/>
      <protection/>
    </xf>
    <xf numFmtId="3" fontId="11" fillId="0" borderId="10" xfId="66" applyNumberFormat="1" applyFont="1" applyBorder="1">
      <alignment/>
      <protection/>
    </xf>
    <xf numFmtId="0" fontId="12" fillId="0" borderId="10" xfId="66" applyFont="1" applyBorder="1">
      <alignment/>
      <protection/>
    </xf>
    <xf numFmtId="191" fontId="14" fillId="0" borderId="19" xfId="58" applyNumberFormat="1" applyFont="1" applyFill="1" applyBorder="1" applyAlignment="1" applyProtection="1">
      <alignment horizontal="left" vertical="center" wrapText="1"/>
      <protection locked="0"/>
    </xf>
    <xf numFmtId="3" fontId="12" fillId="0" borderId="20" xfId="66" applyNumberFormat="1" applyFont="1" applyBorder="1">
      <alignment/>
      <protection/>
    </xf>
    <xf numFmtId="191" fontId="14" fillId="0" borderId="15" xfId="58" applyNumberFormat="1" applyFont="1" applyFill="1" applyBorder="1" applyAlignment="1" applyProtection="1">
      <alignment horizontal="left" vertical="center" wrapText="1"/>
      <protection locked="0"/>
    </xf>
    <xf numFmtId="191" fontId="14" fillId="0" borderId="21" xfId="58" applyNumberFormat="1" applyFont="1" applyFill="1" applyBorder="1" applyAlignment="1" applyProtection="1">
      <alignment horizontal="left" vertical="center" wrapText="1"/>
      <protection locked="0"/>
    </xf>
    <xf numFmtId="3" fontId="12" fillId="0" borderId="11" xfId="66" applyNumberFormat="1" applyFont="1" applyBorder="1">
      <alignment/>
      <protection/>
    </xf>
    <xf numFmtId="191" fontId="22" fillId="0" borderId="13" xfId="58" applyNumberFormat="1" applyFont="1" applyFill="1" applyBorder="1" applyAlignment="1" applyProtection="1">
      <alignment horizontal="left" vertical="center" wrapText="1"/>
      <protection locked="0"/>
    </xf>
    <xf numFmtId="3" fontId="11" fillId="0" borderId="14" xfId="66" applyNumberFormat="1" applyFont="1" applyBorder="1" applyAlignment="1">
      <alignment vertical="center"/>
      <protection/>
    </xf>
    <xf numFmtId="191" fontId="22" fillId="0" borderId="19" xfId="58" applyNumberFormat="1" applyFont="1" applyFill="1" applyBorder="1" applyAlignment="1" applyProtection="1">
      <alignment horizontal="left" vertical="center" wrapText="1"/>
      <protection locked="0"/>
    </xf>
    <xf numFmtId="3" fontId="11" fillId="0" borderId="20" xfId="66" applyNumberFormat="1" applyFont="1" applyBorder="1">
      <alignment/>
      <protection/>
    </xf>
    <xf numFmtId="191" fontId="22" fillId="0" borderId="15" xfId="58" applyNumberFormat="1" applyFont="1" applyFill="1" applyBorder="1" applyAlignment="1" applyProtection="1">
      <alignment horizontal="left" vertical="center" wrapText="1"/>
      <protection locked="0"/>
    </xf>
    <xf numFmtId="191" fontId="22" fillId="18" borderId="13" xfId="58" applyNumberFormat="1" applyFont="1" applyFill="1" applyBorder="1" applyAlignment="1">
      <alignment horizontal="left" vertical="center" wrapText="1"/>
      <protection/>
    </xf>
    <xf numFmtId="3" fontId="11" fillId="18" borderId="14" xfId="66" applyNumberFormat="1" applyFont="1" applyFill="1" applyBorder="1" applyAlignment="1">
      <alignment vertical="center"/>
      <protection/>
    </xf>
    <xf numFmtId="191" fontId="22" fillId="0" borderId="13" xfId="58" applyNumberFormat="1" applyFont="1" applyFill="1" applyBorder="1" applyAlignment="1">
      <alignment horizontal="left" vertical="center" wrapText="1" indent="1"/>
      <protection/>
    </xf>
    <xf numFmtId="0" fontId="14" fillId="0" borderId="15" xfId="66" applyFont="1" applyBorder="1" applyAlignment="1">
      <alignment horizontal="left"/>
      <protection/>
    </xf>
    <xf numFmtId="3" fontId="11" fillId="0" borderId="11" xfId="66" applyNumberFormat="1" applyFont="1" applyBorder="1">
      <alignment/>
      <protection/>
    </xf>
    <xf numFmtId="3" fontId="11" fillId="0" borderId="14" xfId="65" applyNumberFormat="1" applyFont="1" applyBorder="1" applyAlignment="1">
      <alignment vertical="center"/>
      <protection/>
    </xf>
    <xf numFmtId="3" fontId="12" fillId="0" borderId="41" xfId="65" applyNumberFormat="1" applyFont="1" applyBorder="1">
      <alignment/>
      <protection/>
    </xf>
    <xf numFmtId="3" fontId="11" fillId="6" borderId="14" xfId="65" applyNumberFormat="1" applyFont="1" applyFill="1" applyBorder="1" applyAlignment="1">
      <alignment vertical="center"/>
      <protection/>
    </xf>
    <xf numFmtId="3" fontId="12" fillId="0" borderId="20" xfId="65" applyNumberFormat="1" applyFont="1" applyBorder="1">
      <alignment/>
      <protection/>
    </xf>
    <xf numFmtId="0" fontId="12" fillId="0" borderId="10" xfId="65" applyFont="1" applyBorder="1">
      <alignment/>
      <protection/>
    </xf>
    <xf numFmtId="0" fontId="18" fillId="0" borderId="0" xfId="63" applyFont="1" applyBorder="1" applyAlignment="1">
      <alignment horizontal="right"/>
      <protection/>
    </xf>
    <xf numFmtId="0" fontId="15" fillId="7" borderId="19" xfId="62" applyFont="1" applyFill="1" applyBorder="1">
      <alignment/>
      <protection/>
    </xf>
    <xf numFmtId="0" fontId="0" fillId="0" borderId="21" xfId="62" applyFont="1" applyBorder="1">
      <alignment/>
      <protection/>
    </xf>
    <xf numFmtId="0" fontId="0" fillId="0" borderId="0" xfId="63" applyFill="1">
      <alignment/>
      <protection/>
    </xf>
    <xf numFmtId="0" fontId="18" fillId="0" borderId="0" xfId="63" applyFont="1" applyFill="1" applyBorder="1" applyAlignment="1">
      <alignment horizontal="right"/>
      <protection/>
    </xf>
    <xf numFmtId="0" fontId="13" fillId="0" borderId="0" xfId="63" applyFont="1" applyFill="1" applyBorder="1" applyAlignment="1">
      <alignment horizontal="center"/>
      <protection/>
    </xf>
    <xf numFmtId="0" fontId="10" fillId="0" borderId="0" xfId="62" applyFont="1" applyFill="1" applyBorder="1" applyAlignment="1">
      <alignment horizontal="center" vertical="center"/>
      <protection/>
    </xf>
    <xf numFmtId="3" fontId="10" fillId="0" borderId="0" xfId="62" applyNumberFormat="1" applyFont="1" applyFill="1" applyBorder="1" applyAlignment="1">
      <alignment horizontal="center" vertical="center" wrapText="1"/>
      <protection/>
    </xf>
    <xf numFmtId="0" fontId="0" fillId="0" borderId="0" xfId="62" applyFill="1" applyBorder="1">
      <alignment/>
      <protection/>
    </xf>
    <xf numFmtId="0" fontId="15" fillId="0" borderId="0" xfId="62" applyFont="1" applyFill="1" applyBorder="1" applyAlignment="1">
      <alignment horizontal="left" vertical="center" wrapText="1"/>
      <protection/>
    </xf>
    <xf numFmtId="3" fontId="15" fillId="0" borderId="0" xfId="62" applyNumberFormat="1" applyFont="1" applyFill="1" applyBorder="1" applyAlignment="1">
      <alignment horizontal="right" vertical="center"/>
      <protection/>
    </xf>
    <xf numFmtId="3" fontId="0" fillId="0" borderId="0" xfId="62" applyNumberFormat="1" applyFill="1" applyBorder="1">
      <alignment/>
      <protection/>
    </xf>
    <xf numFmtId="0" fontId="0" fillId="0" borderId="0" xfId="62" applyFont="1" applyFill="1" applyBorder="1">
      <alignment/>
      <protection/>
    </xf>
    <xf numFmtId="0" fontId="15" fillId="0" borderId="0" xfId="62" applyFont="1" applyFill="1" applyBorder="1">
      <alignment/>
      <protection/>
    </xf>
    <xf numFmtId="0" fontId="13" fillId="0" borderId="0" xfId="62" applyFont="1" applyFill="1" applyBorder="1" applyAlignment="1">
      <alignment horizontal="left" vertical="center"/>
      <protection/>
    </xf>
    <xf numFmtId="3" fontId="10" fillId="0" borderId="0" xfId="62" applyNumberFormat="1" applyFont="1" applyFill="1" applyBorder="1" applyAlignment="1">
      <alignment horizontal="right" vertical="center"/>
      <protection/>
    </xf>
    <xf numFmtId="0" fontId="0" fillId="0" borderId="0" xfId="63" applyAlignment="1">
      <alignment horizontal="center" vertical="center"/>
      <protection/>
    </xf>
    <xf numFmtId="0" fontId="0" fillId="0" borderId="0" xfId="63" applyAlignment="1">
      <alignment horizontal="center" vertical="center" wrapText="1"/>
      <protection/>
    </xf>
    <xf numFmtId="3" fontId="0" fillId="16" borderId="10" xfId="62" applyNumberFormat="1" applyFont="1" applyFill="1" applyBorder="1" applyAlignment="1">
      <alignment horizontal="right" vertical="center"/>
      <protection/>
    </xf>
    <xf numFmtId="0" fontId="0" fillId="0" borderId="13" xfId="62" applyFont="1" applyBorder="1" applyAlignment="1">
      <alignment horizontal="center" vertical="center"/>
      <protection/>
    </xf>
    <xf numFmtId="3" fontId="0" fillId="0" borderId="14" xfId="62" applyNumberFormat="1" applyFont="1" applyBorder="1" applyAlignment="1">
      <alignment horizontal="center" vertical="center"/>
      <protection/>
    </xf>
    <xf numFmtId="3" fontId="10" fillId="0" borderId="14" xfId="62" applyNumberFormat="1" applyFont="1" applyBorder="1" applyAlignment="1">
      <alignment horizontal="center" vertical="center" wrapText="1"/>
      <protection/>
    </xf>
    <xf numFmtId="0" fontId="15" fillId="7" borderId="19" xfId="62" applyFont="1" applyFill="1" applyBorder="1" applyAlignment="1">
      <alignment horizontal="left" vertical="center" wrapText="1"/>
      <protection/>
    </xf>
    <xf numFmtId="3" fontId="15" fillId="7" borderId="20" xfId="62" applyNumberFormat="1" applyFont="1" applyFill="1" applyBorder="1" applyAlignment="1">
      <alignment horizontal="right" vertical="center"/>
      <protection/>
    </xf>
    <xf numFmtId="0" fontId="0" fillId="0" borderId="15" xfId="62" applyFont="1" applyBorder="1" applyAlignment="1">
      <alignment wrapText="1"/>
      <protection/>
    </xf>
    <xf numFmtId="0" fontId="0" fillId="0" borderId="21" xfId="62" applyFont="1" applyBorder="1" applyAlignment="1">
      <alignment wrapText="1"/>
      <protection/>
    </xf>
    <xf numFmtId="3" fontId="0" fillId="0" borderId="11" xfId="62" applyNumberFormat="1" applyBorder="1">
      <alignment/>
      <protection/>
    </xf>
    <xf numFmtId="3" fontId="15" fillId="7" borderId="20" xfId="62" applyNumberFormat="1" applyFont="1" applyFill="1" applyBorder="1">
      <alignment/>
      <protection/>
    </xf>
    <xf numFmtId="0" fontId="13" fillId="6" borderId="13" xfId="62" applyFont="1" applyFill="1" applyBorder="1" applyAlignment="1">
      <alignment horizontal="left" vertical="center"/>
      <protection/>
    </xf>
    <xf numFmtId="3" fontId="10" fillId="6" borderId="14" xfId="62" applyNumberFormat="1" applyFont="1" applyFill="1" applyBorder="1" applyAlignment="1">
      <alignment horizontal="right" vertical="center"/>
      <protection/>
    </xf>
    <xf numFmtId="3" fontId="0" fillId="16" borderId="10" xfId="62" applyNumberFormat="1" applyFill="1" applyBorder="1">
      <alignment/>
      <protection/>
    </xf>
    <xf numFmtId="0" fontId="0" fillId="0" borderId="19" xfId="62" applyFont="1" applyBorder="1" applyAlignment="1">
      <alignment vertical="center"/>
      <protection/>
    </xf>
    <xf numFmtId="3" fontId="0" fillId="16" borderId="20" xfId="62" applyNumberFormat="1" applyFill="1" applyBorder="1">
      <alignment/>
      <protection/>
    </xf>
    <xf numFmtId="0" fontId="13" fillId="6" borderId="13" xfId="62" applyFont="1" applyFill="1" applyBorder="1" applyAlignment="1">
      <alignment vertical="center"/>
      <protection/>
    </xf>
    <xf numFmtId="3" fontId="10" fillId="6" borderId="14" xfId="62" applyNumberFormat="1" applyFont="1" applyFill="1" applyBorder="1">
      <alignment/>
      <protection/>
    </xf>
    <xf numFmtId="0" fontId="12" fillId="0" borderId="55" xfId="66" applyFont="1" applyBorder="1" applyAlignment="1">
      <alignment horizontal="right"/>
      <protection/>
    </xf>
    <xf numFmtId="0" fontId="12" fillId="0" borderId="56" xfId="66" applyFont="1" applyBorder="1" applyAlignment="1">
      <alignment horizontal="right"/>
      <protection/>
    </xf>
    <xf numFmtId="0" fontId="12" fillId="0" borderId="13" xfId="62" applyFont="1" applyBorder="1" applyAlignment="1">
      <alignment horizontal="center"/>
      <protection/>
    </xf>
    <xf numFmtId="0" fontId="12" fillId="0" borderId="14" xfId="62" applyFont="1" applyBorder="1" applyAlignment="1">
      <alignment horizontal="center"/>
      <protection/>
    </xf>
    <xf numFmtId="0" fontId="12" fillId="0" borderId="10" xfId="62" applyFont="1" applyBorder="1" applyAlignment="1">
      <alignment horizontal="left"/>
      <protection/>
    </xf>
    <xf numFmtId="0" fontId="12" fillId="0" borderId="10" xfId="62" applyFont="1" applyBorder="1" applyAlignment="1">
      <alignment horizontal="left" vertical="center" wrapText="1"/>
      <protection/>
    </xf>
    <xf numFmtId="0" fontId="12" fillId="0" borderId="11" xfId="62" applyFont="1" applyBorder="1" applyAlignment="1">
      <alignment horizontal="left" vertical="center" wrapText="1"/>
      <protection/>
    </xf>
    <xf numFmtId="0" fontId="12" fillId="0" borderId="17" xfId="62" applyFont="1" applyBorder="1" applyAlignment="1">
      <alignment horizontal="center"/>
      <protection/>
    </xf>
    <xf numFmtId="0" fontId="0" fillId="0" borderId="0" xfId="62" applyAlignment="1">
      <alignment horizontal="center"/>
      <protection/>
    </xf>
    <xf numFmtId="0" fontId="12" fillId="0" borderId="57" xfId="62" applyFont="1" applyBorder="1">
      <alignment/>
      <protection/>
    </xf>
    <xf numFmtId="0" fontId="12" fillId="0" borderId="18" xfId="62" applyFont="1" applyBorder="1">
      <alignment/>
      <protection/>
    </xf>
    <xf numFmtId="3" fontId="12" fillId="0" borderId="10" xfId="62" applyNumberFormat="1" applyFont="1" applyBorder="1">
      <alignment/>
      <protection/>
    </xf>
    <xf numFmtId="0" fontId="12" fillId="0" borderId="19" xfId="62" applyFont="1" applyBorder="1" applyAlignment="1">
      <alignment horizontal="left"/>
      <protection/>
    </xf>
    <xf numFmtId="0" fontId="12" fillId="0" borderId="20" xfId="62" applyFont="1" applyBorder="1" applyAlignment="1">
      <alignment horizontal="left"/>
      <protection/>
    </xf>
    <xf numFmtId="3" fontId="12" fillId="0" borderId="20" xfId="62" applyNumberFormat="1" applyFont="1" applyBorder="1">
      <alignment/>
      <protection/>
    </xf>
    <xf numFmtId="0" fontId="12" fillId="0" borderId="15" xfId="62" applyFont="1" applyBorder="1" applyAlignment="1">
      <alignment horizontal="left"/>
      <protection/>
    </xf>
    <xf numFmtId="0" fontId="12" fillId="0" borderId="21" xfId="62" applyFont="1" applyBorder="1" applyAlignment="1">
      <alignment horizontal="left"/>
      <protection/>
    </xf>
    <xf numFmtId="3" fontId="12" fillId="0" borderId="11" xfId="62" applyNumberFormat="1" applyFont="1" applyBorder="1">
      <alignment/>
      <protection/>
    </xf>
    <xf numFmtId="0" fontId="11" fillId="6" borderId="13" xfId="62" applyFont="1" applyFill="1" applyBorder="1">
      <alignment/>
      <protection/>
    </xf>
    <xf numFmtId="0" fontId="11" fillId="6" borderId="14" xfId="62" applyFont="1" applyFill="1" applyBorder="1">
      <alignment/>
      <protection/>
    </xf>
    <xf numFmtId="3" fontId="11" fillId="6" borderId="14" xfId="62" applyNumberFormat="1" applyFont="1" applyFill="1" applyBorder="1">
      <alignment/>
      <protection/>
    </xf>
    <xf numFmtId="3" fontId="46" fillId="0" borderId="0" xfId="62" applyNumberFormat="1" applyFont="1" applyAlignment="1">
      <alignment horizontal="center"/>
      <protection/>
    </xf>
    <xf numFmtId="0" fontId="13" fillId="0" borderId="0" xfId="63" applyFont="1" applyBorder="1" applyAlignment="1">
      <alignment horizontal="center"/>
      <protection/>
    </xf>
    <xf numFmtId="3" fontId="18" fillId="0" borderId="0" xfId="63" applyNumberFormat="1" applyFont="1" applyBorder="1" applyAlignment="1">
      <alignment horizontal="right"/>
      <protection/>
    </xf>
    <xf numFmtId="3" fontId="18" fillId="0" borderId="0" xfId="63" applyNumberFormat="1" applyFont="1" applyFill="1" applyBorder="1" applyAlignment="1">
      <alignment horizontal="right"/>
      <protection/>
    </xf>
    <xf numFmtId="0" fontId="18" fillId="0" borderId="0" xfId="63" applyFont="1" applyBorder="1" applyAlignment="1">
      <alignment horizontal="center"/>
      <protection/>
    </xf>
    <xf numFmtId="1" fontId="0" fillId="0" borderId="0" xfId="63" applyNumberFormat="1" applyFont="1" applyAlignment="1">
      <alignment horizontal="center"/>
      <protection/>
    </xf>
    <xf numFmtId="1" fontId="0" fillId="0" borderId="0" xfId="63" applyNumberFormat="1" applyFont="1" applyBorder="1" applyAlignment="1">
      <alignment horizontal="center"/>
      <protection/>
    </xf>
    <xf numFmtId="1" fontId="0" fillId="0" borderId="0" xfId="63" applyNumberFormat="1" applyFont="1" applyFill="1" applyBorder="1" applyAlignment="1">
      <alignment horizontal="center"/>
      <protection/>
    </xf>
    <xf numFmtId="1" fontId="0" fillId="0" borderId="0" xfId="74" applyNumberFormat="1" applyFont="1" applyFill="1" applyBorder="1" applyAlignment="1">
      <alignment horizontal="center" vertical="center" wrapText="1"/>
    </xf>
    <xf numFmtId="1" fontId="0" fillId="0" borderId="0" xfId="62" applyNumberFormat="1" applyFont="1" applyFill="1" applyBorder="1" applyAlignment="1">
      <alignment horizontal="center" vertical="center"/>
      <protection/>
    </xf>
    <xf numFmtId="1" fontId="0" fillId="0" borderId="0" xfId="62" applyNumberFormat="1" applyFont="1" applyFill="1" applyBorder="1" applyAlignment="1">
      <alignment horizontal="center"/>
      <protection/>
    </xf>
    <xf numFmtId="0" fontId="13" fillId="6" borderId="58" xfId="62" applyFont="1" applyFill="1" applyBorder="1" applyAlignment="1">
      <alignment vertical="center"/>
      <protection/>
    </xf>
    <xf numFmtId="3" fontId="10" fillId="6" borderId="52" xfId="62" applyNumberFormat="1" applyFont="1" applyFill="1" applyBorder="1">
      <alignment/>
      <protection/>
    </xf>
    <xf numFmtId="3" fontId="0" fillId="0" borderId="10" xfId="63" applyNumberFormat="1" applyFont="1" applyBorder="1" applyAlignment="1">
      <alignment horizontal="right"/>
      <protection/>
    </xf>
    <xf numFmtId="0" fontId="0" fillId="0" borderId="10" xfId="0" applyBorder="1" applyAlignment="1">
      <alignment/>
    </xf>
    <xf numFmtId="3" fontId="0" fillId="0" borderId="14" xfId="63" applyNumberFormat="1" applyFont="1" applyBorder="1" applyAlignment="1">
      <alignment horizontal="center" vertical="center"/>
      <protection/>
    </xf>
    <xf numFmtId="1" fontId="0" fillId="0" borderId="27" xfId="63" applyNumberFormat="1" applyFont="1" applyBorder="1" applyAlignment="1">
      <alignment horizontal="center"/>
      <protection/>
    </xf>
    <xf numFmtId="3" fontId="10" fillId="0" borderId="14" xfId="63" applyNumberFormat="1" applyFont="1" applyBorder="1" applyAlignment="1">
      <alignment horizontal="center" vertical="center" wrapText="1"/>
      <protection/>
    </xf>
    <xf numFmtId="3" fontId="0" fillId="0" borderId="20" xfId="63" applyNumberFormat="1" applyFont="1" applyBorder="1" applyAlignment="1">
      <alignment horizontal="right"/>
      <protection/>
    </xf>
    <xf numFmtId="1" fontId="0" fillId="0" borderId="24" xfId="63" applyNumberFormat="1" applyFont="1" applyBorder="1" applyAlignment="1">
      <alignment horizontal="center"/>
      <protection/>
    </xf>
    <xf numFmtId="1" fontId="0" fillId="0" borderId="12" xfId="63" applyNumberFormat="1" applyFont="1" applyBorder="1" applyAlignment="1">
      <alignment horizontal="center"/>
      <protection/>
    </xf>
    <xf numFmtId="3" fontId="0" fillId="0" borderId="11" xfId="63" applyNumberFormat="1" applyFont="1" applyBorder="1" applyAlignment="1">
      <alignment horizontal="right"/>
      <protection/>
    </xf>
    <xf numFmtId="1" fontId="0" fillId="0" borderId="29" xfId="63" applyNumberFormat="1" applyFont="1" applyBorder="1" applyAlignment="1">
      <alignment horizontal="center"/>
      <protection/>
    </xf>
    <xf numFmtId="1" fontId="0" fillId="0" borderId="0" xfId="0" applyNumberFormat="1" applyAlignment="1">
      <alignment horizontal="center"/>
    </xf>
    <xf numFmtId="1" fontId="0" fillId="0" borderId="27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3" fontId="0" fillId="0" borderId="10" xfId="62" applyNumberFormat="1" applyFill="1" applyBorder="1">
      <alignment/>
      <protection/>
    </xf>
    <xf numFmtId="1" fontId="10" fillId="0" borderId="27" xfId="0" applyNumberFormat="1" applyFont="1" applyBorder="1" applyAlignment="1">
      <alignment horizontal="center" vertical="center"/>
    </xf>
    <xf numFmtId="3" fontId="10" fillId="0" borderId="31" xfId="63" applyNumberFormat="1" applyFont="1" applyBorder="1" applyAlignment="1">
      <alignment horizontal="center" vertical="center" wrapText="1"/>
      <protection/>
    </xf>
    <xf numFmtId="1" fontId="10" fillId="0" borderId="42" xfId="0" applyNumberFormat="1" applyFont="1" applyBorder="1" applyAlignment="1">
      <alignment horizontal="center" vertical="center"/>
    </xf>
    <xf numFmtId="0" fontId="12" fillId="0" borderId="32" xfId="65" applyFont="1" applyBorder="1">
      <alignment/>
      <protection/>
    </xf>
    <xf numFmtId="3" fontId="12" fillId="0" borderId="10" xfId="65" applyNumberFormat="1" applyFont="1" applyBorder="1" applyAlignment="1">
      <alignment horizontal="right" vertical="center"/>
      <protection/>
    </xf>
    <xf numFmtId="3" fontId="14" fillId="0" borderId="14" xfId="65" applyNumberFormat="1" applyFont="1" applyBorder="1" applyAlignment="1">
      <alignment horizontal="center"/>
      <protection/>
    </xf>
    <xf numFmtId="3" fontId="14" fillId="0" borderId="27" xfId="65" applyNumberFormat="1" applyFont="1" applyBorder="1" applyAlignment="1">
      <alignment horizontal="center"/>
      <protection/>
    </xf>
    <xf numFmtId="0" fontId="22" fillId="6" borderId="14" xfId="65" applyFont="1" applyFill="1" applyBorder="1" applyAlignment="1">
      <alignment horizontal="center" vertical="center" wrapText="1"/>
      <protection/>
    </xf>
    <xf numFmtId="3" fontId="22" fillId="6" borderId="14" xfId="65" applyNumberFormat="1" applyFont="1" applyFill="1" applyBorder="1" applyAlignment="1">
      <alignment horizontal="center" vertical="center" wrapText="1"/>
      <protection/>
    </xf>
    <xf numFmtId="3" fontId="0" fillId="0" borderId="12" xfId="65" applyNumberFormat="1" applyFont="1" applyBorder="1" applyAlignment="1">
      <alignment horizontal="center"/>
      <protection/>
    </xf>
    <xf numFmtId="0" fontId="23" fillId="0" borderId="13" xfId="65" applyFont="1" applyBorder="1" applyAlignment="1">
      <alignment/>
      <protection/>
    </xf>
    <xf numFmtId="3" fontId="24" fillId="0" borderId="14" xfId="65" applyNumberFormat="1" applyFont="1" applyBorder="1" applyAlignment="1">
      <alignment/>
      <protection/>
    </xf>
    <xf numFmtId="0" fontId="23" fillId="0" borderId="13" xfId="64" applyFont="1" applyFill="1" applyBorder="1" applyAlignment="1" applyProtection="1">
      <alignment horizontal="left" wrapText="1"/>
      <protection/>
    </xf>
    <xf numFmtId="3" fontId="24" fillId="0" borderId="14" xfId="65" applyNumberFormat="1" applyFont="1" applyBorder="1">
      <alignment/>
      <protection/>
    </xf>
    <xf numFmtId="3" fontId="11" fillId="0" borderId="27" xfId="65" applyNumberFormat="1" applyFont="1" applyBorder="1" applyAlignment="1">
      <alignment horizontal="center"/>
      <protection/>
    </xf>
    <xf numFmtId="3" fontId="24" fillId="0" borderId="14" xfId="65" applyNumberFormat="1" applyFont="1" applyFill="1" applyBorder="1">
      <alignment/>
      <protection/>
    </xf>
    <xf numFmtId="3" fontId="22" fillId="6" borderId="13" xfId="65" applyNumberFormat="1" applyFont="1" applyFill="1" applyBorder="1">
      <alignment/>
      <protection/>
    </xf>
    <xf numFmtId="3" fontId="11" fillId="6" borderId="27" xfId="65" applyNumberFormat="1" applyFont="1" applyFill="1" applyBorder="1" applyAlignment="1">
      <alignment horizontal="center"/>
      <protection/>
    </xf>
    <xf numFmtId="191" fontId="22" fillId="0" borderId="13" xfId="0" applyNumberFormat="1" applyFont="1" applyFill="1" applyBorder="1" applyAlignment="1">
      <alignment horizontal="left" wrapText="1" indent="1"/>
    </xf>
    <xf numFmtId="3" fontId="10" fillId="0" borderId="24" xfId="65" applyNumberFormat="1" applyFont="1" applyBorder="1" applyAlignment="1">
      <alignment horizontal="center"/>
      <protection/>
    </xf>
    <xf numFmtId="3" fontId="10" fillId="0" borderId="12" xfId="65" applyNumberFormat="1" applyFont="1" applyBorder="1" applyAlignment="1">
      <alignment horizontal="center"/>
      <protection/>
    </xf>
    <xf numFmtId="3" fontId="10" fillId="0" borderId="27" xfId="65" applyNumberFormat="1" applyFont="1" applyBorder="1" applyAlignment="1">
      <alignment horizontal="center"/>
      <protection/>
    </xf>
    <xf numFmtId="3" fontId="10" fillId="6" borderId="27" xfId="65" applyNumberFormat="1" applyFont="1" applyFill="1" applyBorder="1" applyAlignment="1">
      <alignment horizontal="center"/>
      <protection/>
    </xf>
    <xf numFmtId="0" fontId="11" fillId="6" borderId="30" xfId="65" applyFont="1" applyFill="1" applyBorder="1" applyAlignment="1">
      <alignment horizontal="center"/>
      <protection/>
    </xf>
    <xf numFmtId="3" fontId="22" fillId="6" borderId="31" xfId="65" applyNumberFormat="1" applyFont="1" applyFill="1" applyBorder="1" applyAlignment="1">
      <alignment horizontal="center" vertical="center" wrapText="1"/>
      <protection/>
    </xf>
    <xf numFmtId="3" fontId="10" fillId="6" borderId="42" xfId="65" applyNumberFormat="1" applyFont="1" applyFill="1" applyBorder="1" applyAlignment="1">
      <alignment horizontal="center" vertical="center" wrapText="1"/>
      <protection/>
    </xf>
    <xf numFmtId="0" fontId="11" fillId="6" borderId="30" xfId="65" applyFont="1" applyFill="1" applyBorder="1" applyAlignment="1">
      <alignment horizontal="center" vertical="center" wrapText="1"/>
      <protection/>
    </xf>
    <xf numFmtId="3" fontId="10" fillId="0" borderId="29" xfId="65" applyNumberFormat="1" applyFont="1" applyBorder="1" applyAlignment="1">
      <alignment horizontal="center"/>
      <protection/>
    </xf>
    <xf numFmtId="0" fontId="23" fillId="0" borderId="21" xfId="64" applyFont="1" applyFill="1" applyBorder="1" applyAlignment="1" applyProtection="1">
      <alignment horizontal="left" wrapText="1"/>
      <protection/>
    </xf>
    <xf numFmtId="3" fontId="24" fillId="0" borderId="11" xfId="65" applyNumberFormat="1" applyFont="1" applyBorder="1">
      <alignment/>
      <protection/>
    </xf>
    <xf numFmtId="0" fontId="12" fillId="0" borderId="59" xfId="66" applyFont="1" applyBorder="1">
      <alignment/>
      <protection/>
    </xf>
    <xf numFmtId="191" fontId="14" fillId="0" borderId="38" xfId="58" applyNumberFormat="1" applyFont="1" applyFill="1" applyBorder="1" applyAlignment="1" applyProtection="1">
      <alignment horizontal="left" vertical="center" wrapText="1"/>
      <protection locked="0"/>
    </xf>
    <xf numFmtId="3" fontId="12" fillId="0" borderId="23" xfId="65" applyNumberFormat="1" applyFont="1" applyBorder="1">
      <alignment/>
      <protection/>
    </xf>
    <xf numFmtId="3" fontId="12" fillId="0" borderId="23" xfId="66" applyNumberFormat="1" applyFont="1" applyBorder="1">
      <alignment/>
      <protection/>
    </xf>
    <xf numFmtId="3" fontId="12" fillId="0" borderId="41" xfId="66" applyNumberFormat="1" applyFont="1" applyBorder="1">
      <alignment/>
      <protection/>
    </xf>
    <xf numFmtId="0" fontId="12" fillId="0" borderId="13" xfId="66" applyFont="1" applyBorder="1" applyAlignment="1">
      <alignment horizontal="center"/>
      <protection/>
    </xf>
    <xf numFmtId="0" fontId="12" fillId="0" borderId="14" xfId="66" applyFont="1" applyBorder="1" applyAlignment="1">
      <alignment horizontal="center"/>
      <protection/>
    </xf>
    <xf numFmtId="191" fontId="22" fillId="0" borderId="13" xfId="58" applyNumberFormat="1" applyFont="1" applyFill="1" applyBorder="1" applyAlignment="1" applyProtection="1">
      <alignment horizontal="left" vertical="center" wrapText="1"/>
      <protection/>
    </xf>
    <xf numFmtId="0" fontId="0" fillId="0" borderId="0" xfId="58" applyAlignment="1">
      <alignment horizontal="center" vertical="center"/>
      <protection/>
    </xf>
    <xf numFmtId="0" fontId="0" fillId="0" borderId="59" xfId="58" applyBorder="1">
      <alignment/>
      <protection/>
    </xf>
    <xf numFmtId="0" fontId="0" fillId="0" borderId="60" xfId="58" applyBorder="1" applyAlignment="1">
      <alignment horizontal="center" vertical="center"/>
      <protection/>
    </xf>
    <xf numFmtId="0" fontId="0" fillId="0" borderId="55" xfId="58" applyFont="1" applyBorder="1">
      <alignment/>
      <protection/>
    </xf>
    <xf numFmtId="0" fontId="10" fillId="18" borderId="13" xfId="66" applyFont="1" applyFill="1" applyBorder="1" applyAlignment="1">
      <alignment horizontal="center" vertical="center"/>
      <protection/>
    </xf>
    <xf numFmtId="0" fontId="22" fillId="18" borderId="14" xfId="66" applyFont="1" applyFill="1" applyBorder="1" applyAlignment="1">
      <alignment horizontal="center" vertical="center" wrapText="1"/>
      <protection/>
    </xf>
    <xf numFmtId="0" fontId="22" fillId="18" borderId="27" xfId="66" applyFont="1" applyFill="1" applyBorder="1" applyAlignment="1">
      <alignment horizontal="center" vertical="center" wrapText="1"/>
      <protection/>
    </xf>
    <xf numFmtId="191" fontId="11" fillId="18" borderId="13" xfId="58" applyNumberFormat="1" applyFont="1" applyFill="1" applyBorder="1" applyAlignment="1">
      <alignment horizontal="left" vertical="center" wrapText="1"/>
      <protection/>
    </xf>
    <xf numFmtId="191" fontId="22" fillId="0" borderId="13" xfId="58" applyNumberFormat="1" applyFont="1" applyFill="1" applyBorder="1" applyAlignment="1">
      <alignment horizontal="left" vertical="center" wrapText="1"/>
      <protection/>
    </xf>
    <xf numFmtId="0" fontId="22" fillId="18" borderId="13" xfId="66" applyFont="1" applyFill="1" applyBorder="1" applyAlignment="1">
      <alignment horizontal="center" vertical="center"/>
      <protection/>
    </xf>
    <xf numFmtId="191" fontId="14" fillId="0" borderId="26" xfId="58" applyNumberFormat="1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1" fontId="6" fillId="0" borderId="6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16" borderId="48" xfId="0" applyFont="1" applyFill="1" applyBorder="1" applyAlignment="1">
      <alignment/>
    </xf>
    <xf numFmtId="0" fontId="17" fillId="0" borderId="48" xfId="0" applyFont="1" applyBorder="1" applyAlignment="1">
      <alignment/>
    </xf>
    <xf numFmtId="0" fontId="17" fillId="0" borderId="48" xfId="60" applyFont="1" applyBorder="1">
      <alignment/>
      <protection/>
    </xf>
    <xf numFmtId="0" fontId="17" fillId="0" borderId="48" xfId="0" applyFont="1" applyFill="1" applyBorder="1" applyAlignment="1">
      <alignment/>
    </xf>
    <xf numFmtId="1" fontId="6" fillId="6" borderId="27" xfId="0" applyNumberFormat="1" applyFont="1" applyFill="1" applyBorder="1" applyAlignment="1">
      <alignment horizontal="right"/>
    </xf>
    <xf numFmtId="1" fontId="6" fillId="6" borderId="61" xfId="0" applyNumberFormat="1" applyFont="1" applyFill="1" applyBorder="1" applyAlignment="1">
      <alignment horizontal="right"/>
    </xf>
    <xf numFmtId="1" fontId="9" fillId="6" borderId="61" xfId="0" applyNumberFormat="1" applyFont="1" applyFill="1" applyBorder="1" applyAlignment="1">
      <alignment horizontal="right"/>
    </xf>
    <xf numFmtId="0" fontId="6" fillId="0" borderId="47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3" fontId="6" fillId="16" borderId="19" xfId="0" applyNumberFormat="1" applyFont="1" applyFill="1" applyBorder="1" applyAlignment="1">
      <alignment/>
    </xf>
    <xf numFmtId="3" fontId="6" fillId="16" borderId="20" xfId="0" applyNumberFormat="1" applyFont="1" applyFill="1" applyBorder="1" applyAlignment="1">
      <alignment/>
    </xf>
    <xf numFmtId="1" fontId="6" fillId="16" borderId="24" xfId="0" applyNumberFormat="1" applyFont="1" applyFill="1" applyBorder="1" applyAlignment="1">
      <alignment horizontal="right"/>
    </xf>
    <xf numFmtId="3" fontId="6" fillId="0" borderId="21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1" fontId="6" fillId="16" borderId="29" xfId="0" applyNumberFormat="1" applyFont="1" applyFill="1" applyBorder="1" applyAlignment="1">
      <alignment horizontal="right"/>
    </xf>
    <xf numFmtId="3" fontId="6" fillId="0" borderId="19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0" fontId="12" fillId="0" borderId="28" xfId="62" applyFont="1" applyBorder="1" applyAlignment="1">
      <alignment horizontal="center" vertical="center"/>
      <protection/>
    </xf>
    <xf numFmtId="0" fontId="11" fillId="16" borderId="13" xfId="62" applyFont="1" applyFill="1" applyBorder="1" applyAlignment="1">
      <alignment horizontal="center" vertical="center"/>
      <protection/>
    </xf>
    <xf numFmtId="0" fontId="11" fillId="16" borderId="14" xfId="62" applyFont="1" applyFill="1" applyBorder="1" applyAlignment="1">
      <alignment horizontal="center" vertical="center"/>
      <protection/>
    </xf>
    <xf numFmtId="0" fontId="0" fillId="0" borderId="0" xfId="62" applyAlignment="1">
      <alignment horizontal="center" vertical="center"/>
      <protection/>
    </xf>
    <xf numFmtId="0" fontId="8" fillId="0" borderId="38" xfId="60" applyFont="1" applyBorder="1" applyAlignment="1">
      <alignment horizontal="center"/>
      <protection/>
    </xf>
    <xf numFmtId="0" fontId="8" fillId="0" borderId="15" xfId="60" applyFont="1" applyBorder="1" applyAlignment="1">
      <alignment horizontal="center"/>
      <protection/>
    </xf>
    <xf numFmtId="0" fontId="8" fillId="0" borderId="10" xfId="61" applyFont="1" applyFill="1" applyBorder="1">
      <alignment/>
      <protection/>
    </xf>
    <xf numFmtId="3" fontId="12" fillId="0" borderId="0" xfId="65" applyNumberFormat="1" applyFont="1" applyAlignment="1">
      <alignment horizontal="center"/>
      <protection/>
    </xf>
    <xf numFmtId="3" fontId="11" fillId="0" borderId="24" xfId="65" applyNumberFormat="1" applyFont="1" applyBorder="1" applyAlignment="1">
      <alignment horizontal="center"/>
      <protection/>
    </xf>
    <xf numFmtId="3" fontId="11" fillId="0" borderId="12" xfId="65" applyNumberFormat="1" applyFont="1" applyBorder="1" applyAlignment="1">
      <alignment horizontal="center"/>
      <protection/>
    </xf>
    <xf numFmtId="3" fontId="12" fillId="0" borderId="12" xfId="65" applyNumberFormat="1" applyFont="1" applyBorder="1" applyAlignment="1">
      <alignment horizontal="center"/>
      <protection/>
    </xf>
    <xf numFmtId="3" fontId="12" fillId="0" borderId="29" xfId="65" applyNumberFormat="1" applyFont="1" applyBorder="1" applyAlignment="1">
      <alignment horizontal="center"/>
      <protection/>
    </xf>
    <xf numFmtId="3" fontId="12" fillId="0" borderId="0" xfId="65" applyNumberFormat="1" applyFont="1" applyBorder="1" applyAlignment="1">
      <alignment horizontal="center"/>
      <protection/>
    </xf>
    <xf numFmtId="3" fontId="22" fillId="6" borderId="27" xfId="65" applyNumberFormat="1" applyFont="1" applyFill="1" applyBorder="1" applyAlignment="1">
      <alignment horizontal="center" vertical="center" wrapText="1"/>
      <protection/>
    </xf>
    <xf numFmtId="1" fontId="46" fillId="0" borderId="0" xfId="62" applyNumberFormat="1" applyFont="1" applyAlignment="1">
      <alignment horizontal="center"/>
      <protection/>
    </xf>
    <xf numFmtId="1" fontId="0" fillId="0" borderId="0" xfId="62" applyNumberFormat="1" applyAlignment="1">
      <alignment horizontal="center"/>
      <protection/>
    </xf>
    <xf numFmtId="3" fontId="0" fillId="0" borderId="14" xfId="62" applyNumberFormat="1" applyFont="1" applyBorder="1" applyAlignment="1">
      <alignment horizontal="center"/>
      <protection/>
    </xf>
    <xf numFmtId="1" fontId="0" fillId="0" borderId="27" xfId="62" applyNumberFormat="1" applyFont="1" applyBorder="1" applyAlignment="1">
      <alignment horizontal="center"/>
      <protection/>
    </xf>
    <xf numFmtId="1" fontId="10" fillId="0" borderId="27" xfId="62" applyNumberFormat="1" applyFont="1" applyBorder="1" applyAlignment="1">
      <alignment horizontal="center" vertical="center"/>
      <protection/>
    </xf>
    <xf numFmtId="1" fontId="0" fillId="0" borderId="24" xfId="62" applyNumberFormat="1" applyBorder="1" applyAlignment="1">
      <alignment horizontal="center"/>
      <protection/>
    </xf>
    <xf numFmtId="1" fontId="0" fillId="0" borderId="12" xfId="62" applyNumberFormat="1" applyBorder="1" applyAlignment="1">
      <alignment horizontal="center"/>
      <protection/>
    </xf>
    <xf numFmtId="1" fontId="0" fillId="0" borderId="29" xfId="62" applyNumberFormat="1" applyBorder="1" applyAlignment="1">
      <alignment horizontal="center"/>
      <protection/>
    </xf>
    <xf numFmtId="0" fontId="6" fillId="0" borderId="14" xfId="65" applyFont="1" applyFill="1" applyBorder="1" applyAlignment="1">
      <alignment horizontal="center" vertical="center" wrapText="1"/>
      <protection/>
    </xf>
    <xf numFmtId="0" fontId="10" fillId="0" borderId="14" xfId="65" applyFont="1" applyFill="1" applyBorder="1" applyAlignment="1">
      <alignment horizontal="center" vertical="center" wrapText="1"/>
      <protection/>
    </xf>
    <xf numFmtId="1" fontId="12" fillId="0" borderId="0" xfId="62" applyNumberFormat="1" applyFont="1" applyAlignment="1">
      <alignment horizontal="center"/>
      <protection/>
    </xf>
    <xf numFmtId="1" fontId="51" fillId="0" borderId="0" xfId="62" applyNumberFormat="1" applyFont="1" applyAlignment="1">
      <alignment horizontal="center"/>
      <protection/>
    </xf>
    <xf numFmtId="1" fontId="12" fillId="0" borderId="27" xfId="62" applyNumberFormat="1" applyFont="1" applyBorder="1" applyAlignment="1">
      <alignment horizontal="center"/>
      <protection/>
    </xf>
    <xf numFmtId="1" fontId="11" fillId="0" borderId="27" xfId="62" applyNumberFormat="1" applyFont="1" applyBorder="1" applyAlignment="1">
      <alignment horizontal="center" vertical="center"/>
      <protection/>
    </xf>
    <xf numFmtId="1" fontId="12" fillId="0" borderId="24" xfId="62" applyNumberFormat="1" applyFont="1" applyBorder="1" applyAlignment="1">
      <alignment horizontal="center"/>
      <protection/>
    </xf>
    <xf numFmtId="1" fontId="12" fillId="0" borderId="12" xfId="62" applyNumberFormat="1" applyFont="1" applyBorder="1" applyAlignment="1">
      <alignment horizontal="center"/>
      <protection/>
    </xf>
    <xf numFmtId="1" fontId="12" fillId="0" borderId="29" xfId="62" applyNumberFormat="1" applyFont="1" applyBorder="1" applyAlignment="1">
      <alignment horizontal="center"/>
      <protection/>
    </xf>
    <xf numFmtId="0" fontId="0" fillId="0" borderId="0" xfId="65" applyBorder="1">
      <alignment/>
      <protection/>
    </xf>
    <xf numFmtId="0" fontId="0" fillId="0" borderId="0" xfId="58" applyBorder="1">
      <alignment/>
      <protection/>
    </xf>
    <xf numFmtId="1" fontId="10" fillId="6" borderId="27" xfId="63" applyNumberFormat="1" applyFont="1" applyFill="1" applyBorder="1" applyAlignment="1">
      <alignment horizontal="center"/>
      <protection/>
    </xf>
    <xf numFmtId="1" fontId="10" fillId="7" borderId="24" xfId="63" applyNumberFormat="1" applyFont="1" applyFill="1" applyBorder="1" applyAlignment="1">
      <alignment horizontal="center"/>
      <protection/>
    </xf>
    <xf numFmtId="1" fontId="10" fillId="0" borderId="27" xfId="63" applyNumberFormat="1" applyFont="1" applyBorder="1" applyAlignment="1">
      <alignment horizontal="center" vertical="center"/>
      <protection/>
    </xf>
    <xf numFmtId="1" fontId="10" fillId="6" borderId="53" xfId="0" applyNumberFormat="1" applyFont="1" applyFill="1" applyBorder="1" applyAlignment="1">
      <alignment horizontal="center"/>
    </xf>
    <xf numFmtId="1" fontId="10" fillId="7" borderId="24" xfId="0" applyNumberFormat="1" applyFont="1" applyFill="1" applyBorder="1" applyAlignment="1">
      <alignment horizontal="center"/>
    </xf>
    <xf numFmtId="1" fontId="11" fillId="6" borderId="27" xfId="62" applyNumberFormat="1" applyFont="1" applyFill="1" applyBorder="1" applyAlignment="1">
      <alignment horizontal="center"/>
      <protection/>
    </xf>
    <xf numFmtId="0" fontId="12" fillId="0" borderId="27" xfId="66" applyFont="1" applyBorder="1" applyAlignment="1">
      <alignment horizontal="center" vertical="center"/>
      <protection/>
    </xf>
    <xf numFmtId="3" fontId="12" fillId="0" borderId="24" xfId="66" applyNumberFormat="1" applyFont="1" applyBorder="1" applyAlignment="1">
      <alignment horizontal="center" vertical="center"/>
      <protection/>
    </xf>
    <xf numFmtId="3" fontId="12" fillId="0" borderId="12" xfId="66" applyNumberFormat="1" applyFont="1" applyBorder="1" applyAlignment="1">
      <alignment horizontal="center" vertical="center"/>
      <protection/>
    </xf>
    <xf numFmtId="3" fontId="12" fillId="0" borderId="29" xfId="66" applyNumberFormat="1" applyFont="1" applyBorder="1" applyAlignment="1">
      <alignment horizontal="center" vertical="center"/>
      <protection/>
    </xf>
    <xf numFmtId="3" fontId="11" fillId="0" borderId="61" xfId="66" applyNumberFormat="1" applyFont="1" applyBorder="1" applyAlignment="1">
      <alignment horizontal="center" vertical="center"/>
      <protection/>
    </xf>
    <xf numFmtId="3" fontId="12" fillId="0" borderId="27" xfId="66" applyNumberFormat="1" applyFont="1" applyBorder="1" applyAlignment="1">
      <alignment horizontal="center" vertical="center"/>
      <protection/>
    </xf>
    <xf numFmtId="3" fontId="11" fillId="6" borderId="27" xfId="66" applyNumberFormat="1" applyFont="1" applyFill="1" applyBorder="1" applyAlignment="1">
      <alignment horizontal="center" vertical="center"/>
      <protection/>
    </xf>
    <xf numFmtId="3" fontId="11" fillId="0" borderId="27" xfId="66" applyNumberFormat="1" applyFont="1" applyBorder="1" applyAlignment="1">
      <alignment horizontal="center" vertical="center"/>
      <protection/>
    </xf>
    <xf numFmtId="0" fontId="12" fillId="0" borderId="14" xfId="66" applyFont="1" applyBorder="1" applyAlignment="1">
      <alignment horizontal="center" vertical="center"/>
      <protection/>
    </xf>
    <xf numFmtId="3" fontId="12" fillId="0" borderId="20" xfId="66" applyNumberFormat="1" applyFont="1" applyBorder="1" applyAlignment="1">
      <alignment horizontal="center" vertical="center"/>
      <protection/>
    </xf>
    <xf numFmtId="3" fontId="12" fillId="0" borderId="10" xfId="66" applyNumberFormat="1" applyFont="1" applyBorder="1" applyAlignment="1">
      <alignment horizontal="center" vertical="center"/>
      <protection/>
    </xf>
    <xf numFmtId="3" fontId="12" fillId="0" borderId="41" xfId="66" applyNumberFormat="1" applyFont="1" applyBorder="1" applyAlignment="1">
      <alignment horizontal="center" vertical="center"/>
      <protection/>
    </xf>
    <xf numFmtId="3" fontId="12" fillId="0" borderId="25" xfId="66" applyNumberFormat="1" applyFont="1" applyBorder="1" applyAlignment="1">
      <alignment horizontal="center" vertical="center"/>
      <protection/>
    </xf>
    <xf numFmtId="3" fontId="11" fillId="0" borderId="14" xfId="66" applyNumberFormat="1" applyFont="1" applyBorder="1" applyAlignment="1">
      <alignment horizontal="center" vertical="center"/>
      <protection/>
    </xf>
    <xf numFmtId="3" fontId="11" fillId="0" borderId="23" xfId="66" applyNumberFormat="1" applyFont="1" applyBorder="1" applyAlignment="1">
      <alignment horizontal="center" vertical="center"/>
      <protection/>
    </xf>
    <xf numFmtId="3" fontId="12" fillId="0" borderId="16" xfId="66" applyNumberFormat="1" applyFont="1" applyBorder="1" applyAlignment="1">
      <alignment horizontal="center" vertical="center"/>
      <protection/>
    </xf>
    <xf numFmtId="0" fontId="12" fillId="0" borderId="10" xfId="66" applyFont="1" applyBorder="1" applyAlignment="1">
      <alignment horizontal="center" vertical="center"/>
      <protection/>
    </xf>
    <xf numFmtId="3" fontId="12" fillId="0" borderId="11" xfId="66" applyNumberFormat="1" applyFont="1" applyBorder="1" applyAlignment="1">
      <alignment horizontal="center" vertical="center"/>
      <protection/>
    </xf>
    <xf numFmtId="3" fontId="11" fillId="18" borderId="14" xfId="66" applyNumberFormat="1" applyFont="1" applyFill="1" applyBorder="1" applyAlignment="1">
      <alignment horizontal="center" vertical="center"/>
      <protection/>
    </xf>
    <xf numFmtId="0" fontId="0" fillId="0" borderId="0" xfId="66" applyAlignment="1">
      <alignment horizontal="center" vertical="center"/>
      <protection/>
    </xf>
    <xf numFmtId="3" fontId="12" fillId="0" borderId="14" xfId="66" applyNumberFormat="1" applyFont="1" applyBorder="1" applyAlignment="1">
      <alignment horizontal="center" vertical="center"/>
      <protection/>
    </xf>
    <xf numFmtId="3" fontId="22" fillId="18" borderId="14" xfId="66" applyNumberFormat="1" applyFont="1" applyFill="1" applyBorder="1" applyAlignment="1">
      <alignment horizontal="center" vertical="center" wrapText="1"/>
      <protection/>
    </xf>
    <xf numFmtId="3" fontId="0" fillId="0" borderId="11" xfId="66" applyNumberFormat="1" applyBorder="1" applyAlignment="1">
      <alignment horizontal="center" vertical="center"/>
      <protection/>
    </xf>
    <xf numFmtId="3" fontId="12" fillId="0" borderId="10" xfId="65" applyNumberFormat="1" applyFont="1" applyBorder="1" applyAlignment="1">
      <alignment horizontal="center" vertical="center"/>
      <protection/>
    </xf>
    <xf numFmtId="3" fontId="11" fillId="0" borderId="11" xfId="65" applyNumberFormat="1" applyFont="1" applyBorder="1" applyAlignment="1">
      <alignment horizontal="center" vertical="center"/>
      <protection/>
    </xf>
    <xf numFmtId="3" fontId="11" fillId="0" borderId="14" xfId="65" applyNumberFormat="1" applyFont="1" applyBorder="1" applyAlignment="1">
      <alignment horizontal="center" vertical="center"/>
      <protection/>
    </xf>
    <xf numFmtId="3" fontId="11" fillId="6" borderId="14" xfId="65" applyNumberFormat="1" applyFont="1" applyFill="1" applyBorder="1" applyAlignment="1">
      <alignment horizontal="center" vertical="center"/>
      <protection/>
    </xf>
    <xf numFmtId="3" fontId="0" fillId="0" borderId="0" xfId="66" applyNumberFormat="1" applyAlignment="1">
      <alignment horizontal="center" vertical="center"/>
      <protection/>
    </xf>
    <xf numFmtId="3" fontId="12" fillId="0" borderId="20" xfId="66" applyNumberFormat="1" applyFont="1" applyBorder="1" applyAlignment="1">
      <alignment horizontal="center"/>
      <protection/>
    </xf>
    <xf numFmtId="3" fontId="12" fillId="0" borderId="24" xfId="66" applyNumberFormat="1" applyFont="1" applyBorder="1" applyAlignment="1">
      <alignment horizontal="center"/>
      <protection/>
    </xf>
    <xf numFmtId="1" fontId="10" fillId="6" borderId="27" xfId="62" applyNumberFormat="1" applyFont="1" applyFill="1" applyBorder="1" applyAlignment="1">
      <alignment horizontal="center"/>
      <protection/>
    </xf>
    <xf numFmtId="0" fontId="0" fillId="0" borderId="10" xfId="65" applyBorder="1">
      <alignment/>
      <protection/>
    </xf>
    <xf numFmtId="0" fontId="12" fillId="0" borderId="60" xfId="66" applyFont="1" applyBorder="1" applyAlignment="1">
      <alignment horizontal="center" vertical="center"/>
      <protection/>
    </xf>
    <xf numFmtId="3" fontId="11" fillId="0" borderId="29" xfId="65" applyNumberFormat="1" applyFont="1" applyBorder="1" applyAlignment="1">
      <alignment horizontal="center"/>
      <protection/>
    </xf>
    <xf numFmtId="3" fontId="11" fillId="0" borderId="20" xfId="65" applyNumberFormat="1" applyFont="1" applyFill="1" applyBorder="1">
      <alignment/>
      <protection/>
    </xf>
    <xf numFmtId="0" fontId="12" fillId="0" borderId="32" xfId="65" applyFont="1" applyBorder="1" applyAlignment="1">
      <alignment horizontal="center" vertical="center"/>
      <protection/>
    </xf>
    <xf numFmtId="0" fontId="11" fillId="6" borderId="13" xfId="65" applyFont="1" applyFill="1" applyBorder="1" applyAlignment="1">
      <alignment horizontal="center" vertical="center"/>
      <protection/>
    </xf>
    <xf numFmtId="3" fontId="0" fillId="0" borderId="0" xfId="65" applyNumberFormat="1" applyAlignment="1">
      <alignment horizontal="center" vertical="center"/>
      <protection/>
    </xf>
    <xf numFmtId="0" fontId="0" fillId="0" borderId="0" xfId="65" applyAlignment="1">
      <alignment horizontal="center" vertical="center"/>
      <protection/>
    </xf>
    <xf numFmtId="0" fontId="0" fillId="0" borderId="10" xfId="58" applyBorder="1">
      <alignment/>
      <protection/>
    </xf>
    <xf numFmtId="0" fontId="12" fillId="0" borderId="27" xfId="66" applyFont="1" applyBorder="1" applyAlignment="1">
      <alignment horizontal="center"/>
      <protection/>
    </xf>
    <xf numFmtId="3" fontId="12" fillId="0" borderId="24" xfId="66" applyNumberFormat="1" applyFont="1" applyBorder="1">
      <alignment/>
      <protection/>
    </xf>
    <xf numFmtId="3" fontId="12" fillId="0" borderId="12" xfId="66" applyNumberFormat="1" applyFont="1" applyBorder="1">
      <alignment/>
      <protection/>
    </xf>
    <xf numFmtId="3" fontId="12" fillId="0" borderId="29" xfId="66" applyNumberFormat="1" applyFont="1" applyBorder="1">
      <alignment/>
      <protection/>
    </xf>
    <xf numFmtId="3" fontId="12" fillId="0" borderId="27" xfId="66" applyNumberFormat="1" applyFont="1" applyBorder="1">
      <alignment/>
      <protection/>
    </xf>
    <xf numFmtId="3" fontId="11" fillId="0" borderId="27" xfId="66" applyNumberFormat="1" applyFont="1" applyBorder="1" applyAlignment="1">
      <alignment vertical="center"/>
      <protection/>
    </xf>
    <xf numFmtId="1" fontId="45" fillId="0" borderId="0" xfId="0" applyNumberFormat="1" applyFont="1" applyAlignment="1">
      <alignment/>
    </xf>
    <xf numFmtId="1" fontId="52" fillId="16" borderId="12" xfId="0" applyNumberFormat="1" applyFont="1" applyFill="1" applyBorder="1" applyAlignment="1">
      <alignment horizontal="right"/>
    </xf>
    <xf numFmtId="1" fontId="52" fillId="6" borderId="27" xfId="0" applyNumberFormat="1" applyFont="1" applyFill="1" applyBorder="1" applyAlignment="1">
      <alignment horizontal="right"/>
    </xf>
    <xf numFmtId="0" fontId="6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3" fontId="6" fillId="16" borderId="38" xfId="0" applyNumberFormat="1" applyFont="1" applyFill="1" applyBorder="1" applyAlignment="1">
      <alignment/>
    </xf>
    <xf numFmtId="3" fontId="6" fillId="16" borderId="23" xfId="0" applyNumberFormat="1" applyFont="1" applyFill="1" applyBorder="1" applyAlignment="1">
      <alignment/>
    </xf>
    <xf numFmtId="1" fontId="52" fillId="16" borderId="16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/>
    </xf>
    <xf numFmtId="0" fontId="0" fillId="0" borderId="10" xfId="63" applyBorder="1">
      <alignment/>
      <protection/>
    </xf>
    <xf numFmtId="3" fontId="12" fillId="0" borderId="62" xfId="66" applyNumberFormat="1" applyFont="1" applyBorder="1" applyAlignment="1">
      <alignment horizontal="center" vertical="center"/>
      <protection/>
    </xf>
    <xf numFmtId="3" fontId="12" fillId="0" borderId="35" xfId="66" applyNumberFormat="1" applyFont="1" applyBorder="1" applyAlignment="1">
      <alignment horizontal="center" vertical="center"/>
      <protection/>
    </xf>
    <xf numFmtId="3" fontId="12" fillId="0" borderId="63" xfId="66" applyNumberFormat="1" applyFont="1" applyBorder="1" applyAlignment="1">
      <alignment horizontal="center" vertical="center"/>
      <protection/>
    </xf>
    <xf numFmtId="191" fontId="22" fillId="0" borderId="30" xfId="58" applyNumberFormat="1" applyFont="1" applyFill="1" applyBorder="1" applyAlignment="1" applyProtection="1">
      <alignment horizontal="left" vertical="center" wrapText="1"/>
      <protection/>
    </xf>
    <xf numFmtId="3" fontId="11" fillId="0" borderId="31" xfId="66" applyNumberFormat="1" applyFont="1" applyBorder="1" applyAlignment="1">
      <alignment vertical="center"/>
      <protection/>
    </xf>
    <xf numFmtId="3" fontId="11" fillId="0" borderId="31" xfId="65" applyNumberFormat="1" applyFont="1" applyBorder="1" applyAlignment="1">
      <alignment vertical="center"/>
      <protection/>
    </xf>
    <xf numFmtId="3" fontId="11" fillId="0" borderId="31" xfId="66" applyNumberFormat="1" applyFont="1" applyBorder="1" applyAlignment="1">
      <alignment horizontal="center" vertical="center"/>
      <protection/>
    </xf>
    <xf numFmtId="3" fontId="11" fillId="0" borderId="42" xfId="66" applyNumberFormat="1" applyFont="1" applyBorder="1" applyAlignment="1">
      <alignment horizontal="center" vertical="center"/>
      <protection/>
    </xf>
    <xf numFmtId="191" fontId="22" fillId="0" borderId="58" xfId="58" applyNumberFormat="1" applyFont="1" applyFill="1" applyBorder="1" applyAlignment="1" applyProtection="1">
      <alignment horizontal="left" vertical="center" wrapText="1"/>
      <protection locked="0"/>
    </xf>
    <xf numFmtId="3" fontId="11" fillId="0" borderId="52" xfId="66" applyNumberFormat="1" applyFont="1" applyBorder="1" applyAlignment="1">
      <alignment vertical="center"/>
      <protection/>
    </xf>
    <xf numFmtId="3" fontId="11" fillId="0" borderId="52" xfId="65" applyNumberFormat="1" applyFont="1" applyBorder="1" applyAlignment="1">
      <alignment vertical="center"/>
      <protection/>
    </xf>
    <xf numFmtId="3" fontId="11" fillId="0" borderId="52" xfId="65" applyNumberFormat="1" applyFont="1" applyBorder="1" applyAlignment="1">
      <alignment horizontal="center" vertical="center"/>
      <protection/>
    </xf>
    <xf numFmtId="3" fontId="11" fillId="0" borderId="53" xfId="66" applyNumberFormat="1" applyFont="1" applyBorder="1" applyAlignment="1">
      <alignment horizontal="center" vertical="center"/>
      <protection/>
    </xf>
    <xf numFmtId="0" fontId="0" fillId="0" borderId="10" xfId="66" applyBorder="1">
      <alignment/>
      <protection/>
    </xf>
    <xf numFmtId="3" fontId="0" fillId="0" borderId="10" xfId="66" applyNumberFormat="1" applyBorder="1" applyAlignment="1">
      <alignment horizontal="center" vertical="center"/>
      <protection/>
    </xf>
    <xf numFmtId="0" fontId="14" fillId="0" borderId="15" xfId="66" applyFont="1" applyBorder="1">
      <alignment/>
      <protection/>
    </xf>
    <xf numFmtId="3" fontId="11" fillId="0" borderId="27" xfId="65" applyNumberFormat="1" applyFont="1" applyBorder="1" applyAlignment="1">
      <alignment horizontal="center" vertical="center"/>
      <protection/>
    </xf>
    <xf numFmtId="0" fontId="12" fillId="0" borderId="18" xfId="65" applyFont="1" applyBorder="1" applyAlignment="1">
      <alignment vertical="center"/>
      <protection/>
    </xf>
    <xf numFmtId="0" fontId="23" fillId="0" borderId="13" xfId="65" applyFont="1" applyBorder="1" applyAlignment="1">
      <alignment vertical="center"/>
      <protection/>
    </xf>
    <xf numFmtId="3" fontId="24" fillId="0" borderId="14" xfId="65" applyNumberFormat="1" applyFont="1" applyBorder="1" applyAlignment="1">
      <alignment vertical="center"/>
      <protection/>
    </xf>
    <xf numFmtId="3" fontId="24" fillId="0" borderId="14" xfId="65" applyNumberFormat="1" applyFont="1" applyFill="1" applyBorder="1" applyAlignment="1">
      <alignment vertical="center"/>
      <protection/>
    </xf>
    <xf numFmtId="3" fontId="0" fillId="0" borderId="0" xfId="65" applyNumberFormat="1" applyAlignment="1">
      <alignment vertical="center"/>
      <protection/>
    </xf>
    <xf numFmtId="0" fontId="0" fillId="0" borderId="0" xfId="65" applyAlignment="1">
      <alignment vertical="center"/>
      <protection/>
    </xf>
    <xf numFmtId="0" fontId="12" fillId="0" borderId="18" xfId="65" applyFont="1" applyBorder="1" applyAlignment="1">
      <alignment/>
      <protection/>
    </xf>
    <xf numFmtId="3" fontId="22" fillId="6" borderId="13" xfId="65" applyNumberFormat="1" applyFont="1" applyFill="1" applyBorder="1" applyAlignment="1">
      <alignment/>
      <protection/>
    </xf>
    <xf numFmtId="3" fontId="11" fillId="6" borderId="14" xfId="65" applyNumberFormat="1" applyFont="1" applyFill="1" applyBorder="1" applyAlignment="1">
      <alignment/>
      <protection/>
    </xf>
    <xf numFmtId="3" fontId="0" fillId="0" borderId="0" xfId="65" applyNumberFormat="1" applyAlignment="1">
      <alignment/>
      <protection/>
    </xf>
    <xf numFmtId="0" fontId="0" fillId="0" borderId="0" xfId="65" applyAlignment="1">
      <alignment/>
      <protection/>
    </xf>
    <xf numFmtId="3" fontId="22" fillId="6" borderId="42" xfId="65" applyNumberFormat="1" applyFont="1" applyFill="1" applyBorder="1" applyAlignment="1">
      <alignment horizontal="center" vertical="center" wrapText="1"/>
      <protection/>
    </xf>
    <xf numFmtId="0" fontId="23" fillId="0" borderId="58" xfId="65" applyFont="1" applyBorder="1" applyAlignment="1">
      <alignment vertical="center"/>
      <protection/>
    </xf>
    <xf numFmtId="3" fontId="24" fillId="0" borderId="52" xfId="65" applyNumberFormat="1" applyFont="1" applyBorder="1" applyAlignment="1">
      <alignment vertical="center"/>
      <protection/>
    </xf>
    <xf numFmtId="3" fontId="24" fillId="0" borderId="52" xfId="65" applyNumberFormat="1" applyFont="1" applyFill="1" applyBorder="1" applyAlignment="1">
      <alignment vertical="center"/>
      <protection/>
    </xf>
    <xf numFmtId="3" fontId="11" fillId="0" borderId="53" xfId="65" applyNumberFormat="1" applyFont="1" applyBorder="1" applyAlignment="1">
      <alignment horizontal="center" vertical="center"/>
      <protection/>
    </xf>
    <xf numFmtId="0" fontId="0" fillId="0" borderId="26" xfId="62" applyFont="1" applyBorder="1">
      <alignment/>
      <protection/>
    </xf>
    <xf numFmtId="3" fontId="0" fillId="0" borderId="41" xfId="62" applyNumberFormat="1" applyBorder="1">
      <alignment/>
      <protection/>
    </xf>
    <xf numFmtId="3" fontId="0" fillId="0" borderId="41" xfId="63" applyNumberFormat="1" applyFont="1" applyBorder="1" applyAlignment="1">
      <alignment horizontal="right"/>
      <protection/>
    </xf>
    <xf numFmtId="1" fontId="0" fillId="0" borderId="25" xfId="0" applyNumberFormat="1" applyBorder="1" applyAlignment="1">
      <alignment horizontal="center"/>
    </xf>
    <xf numFmtId="1" fontId="10" fillId="6" borderId="27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5" fillId="0" borderId="0" xfId="60" applyFont="1" applyBorder="1" applyAlignment="1">
      <alignment horizontal="center"/>
      <protection/>
    </xf>
    <xf numFmtId="0" fontId="0" fillId="0" borderId="0" xfId="0" applyFont="1" applyAlignment="1">
      <alignment/>
    </xf>
    <xf numFmtId="0" fontId="13" fillId="0" borderId="0" xfId="65" applyFont="1" applyAlignment="1">
      <alignment horizontal="center"/>
      <protection/>
    </xf>
    <xf numFmtId="0" fontId="12" fillId="0" borderId="0" xfId="66" applyFont="1" applyBorder="1" applyAlignment="1">
      <alignment horizontal="center" vertical="center"/>
      <protection/>
    </xf>
    <xf numFmtId="0" fontId="12" fillId="0" borderId="0" xfId="58" applyFont="1" applyBorder="1" applyAlignment="1">
      <alignment horizontal="center"/>
      <protection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7" fillId="0" borderId="0" xfId="59" applyFont="1" applyBorder="1" applyAlignment="1">
      <alignment horizontal="right"/>
      <protection/>
    </xf>
    <xf numFmtId="0" fontId="7" fillId="0" borderId="0" xfId="67" applyFont="1" applyBorder="1" applyAlignment="1">
      <alignment/>
      <protection/>
    </xf>
    <xf numFmtId="0" fontId="49" fillId="0" borderId="0" xfId="59" applyFont="1" applyBorder="1" applyAlignment="1">
      <alignment horizontal="right"/>
      <protection/>
    </xf>
    <xf numFmtId="0" fontId="49" fillId="0" borderId="0" xfId="67" applyFont="1" applyBorder="1" applyAlignment="1">
      <alignment/>
      <protection/>
    </xf>
    <xf numFmtId="0" fontId="0" fillId="0" borderId="64" xfId="62" applyFont="1" applyBorder="1" applyAlignment="1">
      <alignment horizontal="right" vertical="center"/>
      <protection/>
    </xf>
    <xf numFmtId="0" fontId="0" fillId="0" borderId="65" xfId="62" applyFont="1" applyBorder="1" applyAlignment="1">
      <alignment horizontal="right" vertical="center"/>
      <protection/>
    </xf>
    <xf numFmtId="0" fontId="14" fillId="0" borderId="26" xfId="62" applyFont="1" applyBorder="1" applyAlignment="1">
      <alignment horizontal="left" vertical="center"/>
      <protection/>
    </xf>
    <xf numFmtId="0" fontId="14" fillId="0" borderId="38" xfId="62" applyFont="1" applyBorder="1" applyAlignment="1">
      <alignment horizontal="left" vertical="center"/>
      <protection/>
    </xf>
    <xf numFmtId="0" fontId="10" fillId="0" borderId="30" xfId="62" applyFont="1" applyBorder="1" applyAlignment="1">
      <alignment horizontal="center" vertical="center" wrapText="1"/>
      <protection/>
    </xf>
    <xf numFmtId="0" fontId="10" fillId="0" borderId="31" xfId="62" applyFont="1" applyBorder="1" applyAlignment="1">
      <alignment horizontal="center" vertical="center" wrapText="1"/>
      <protection/>
    </xf>
    <xf numFmtId="0" fontId="10" fillId="0" borderId="42" xfId="62" applyFont="1" applyBorder="1" applyAlignment="1">
      <alignment horizontal="center" vertical="center" wrapText="1"/>
      <protection/>
    </xf>
    <xf numFmtId="0" fontId="13" fillId="0" borderId="0" xfId="62" applyFont="1" applyAlignment="1">
      <alignment horizontal="center"/>
      <protection/>
    </xf>
    <xf numFmtId="0" fontId="13" fillId="0" borderId="0" xfId="63" applyFont="1" applyBorder="1" applyAlignment="1">
      <alignment horizontal="center"/>
      <protection/>
    </xf>
    <xf numFmtId="0" fontId="0" fillId="0" borderId="0" xfId="63" applyFont="1" applyBorder="1" applyAlignment="1">
      <alignment horizontal="right"/>
      <protection/>
    </xf>
    <xf numFmtId="0" fontId="0" fillId="0" borderId="0" xfId="63" applyBorder="1" applyAlignment="1">
      <alignment horizontal="right"/>
      <protection/>
    </xf>
    <xf numFmtId="0" fontId="12" fillId="0" borderId="0" xfId="58" applyFont="1" applyBorder="1" applyAlignment="1">
      <alignment horizontal="center" vertical="center"/>
      <protection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_2011.VI.mód. táblázatai HELYESBÍTÉS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Followed Hyperlink" xfId="57"/>
    <cellStyle name="Normál_2011.I.félévi beszámoló táblázatai" xfId="58"/>
    <cellStyle name="Normál_adósság" xfId="59"/>
    <cellStyle name="Normál_címrend1" xfId="60"/>
    <cellStyle name="Normál_címrend2" xfId="61"/>
    <cellStyle name="Normál_Köttsv.2004" xfId="62"/>
    <cellStyle name="Normál_Köttsv.2004_2011.VI.mód. táblázatai HELYESBÍTÉS" xfId="63"/>
    <cellStyle name="Normál_KVRENMUNKA" xfId="64"/>
    <cellStyle name="Normál_mérleg" xfId="65"/>
    <cellStyle name="Normál_mérleg_2011.I.félévi beszámoló táblázatai" xfId="66"/>
    <cellStyle name="Normál_Munkafüzet2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"/>
  <sheetViews>
    <sheetView workbookViewId="0" topLeftCell="A1">
      <selection activeCell="G37" sqref="G37"/>
    </sheetView>
  </sheetViews>
  <sheetFormatPr defaultColWidth="9.00390625" defaultRowHeight="12.75"/>
  <cols>
    <col min="1" max="1" width="3.25390625" style="0" customWidth="1"/>
    <col min="2" max="2" width="8.75390625" style="0" customWidth="1"/>
    <col min="3" max="3" width="47.00390625" style="0" customWidth="1"/>
  </cols>
  <sheetData>
    <row r="2" spans="1:5" ht="15.75">
      <c r="A2" s="572" t="s">
        <v>83</v>
      </c>
      <c r="B2" s="573"/>
      <c r="C2" s="573"/>
      <c r="D2" s="573"/>
      <c r="E2" s="573"/>
    </row>
    <row r="3" spans="1:5" ht="15.75">
      <c r="A3" s="1"/>
      <c r="B3" s="2"/>
      <c r="C3" s="2"/>
      <c r="D3" s="2"/>
      <c r="E3" s="3"/>
    </row>
    <row r="4" spans="1:5" ht="16.5" thickBot="1">
      <c r="A4" s="4"/>
      <c r="B4" s="5"/>
      <c r="C4" s="37"/>
      <c r="D4" s="6"/>
      <c r="E4" s="6"/>
    </row>
    <row r="5" spans="1:5" ht="13.5" thickBot="1">
      <c r="A5" s="64"/>
      <c r="B5" s="128" t="s">
        <v>62</v>
      </c>
      <c r="C5" s="129" t="s">
        <v>63</v>
      </c>
      <c r="D5" s="7"/>
      <c r="E5" s="4"/>
    </row>
    <row r="6" spans="1:3" ht="15" thickBot="1">
      <c r="A6" s="64"/>
      <c r="B6" s="230" t="s">
        <v>0</v>
      </c>
      <c r="C6" s="231" t="s">
        <v>1</v>
      </c>
    </row>
    <row r="7" spans="1:3" ht="14.25">
      <c r="A7" s="4"/>
      <c r="B7" s="91" t="s">
        <v>2</v>
      </c>
      <c r="C7" s="61" t="s">
        <v>479</v>
      </c>
    </row>
    <row r="8" spans="1:3" ht="14.25">
      <c r="A8" s="4"/>
      <c r="B8" s="65" t="s">
        <v>3</v>
      </c>
      <c r="C8" s="62" t="s">
        <v>8</v>
      </c>
    </row>
    <row r="9" spans="1:3" ht="14.25">
      <c r="A9" s="4"/>
      <c r="B9" s="65" t="s">
        <v>4</v>
      </c>
      <c r="C9" s="62" t="s">
        <v>12</v>
      </c>
    </row>
    <row r="10" spans="1:3" ht="14.25">
      <c r="A10" s="4"/>
      <c r="B10" s="65" t="s">
        <v>5</v>
      </c>
      <c r="C10" s="62" t="s">
        <v>326</v>
      </c>
    </row>
    <row r="11" spans="1:3" ht="15" thickBot="1">
      <c r="A11" s="4"/>
      <c r="B11" s="66" t="s">
        <v>6</v>
      </c>
      <c r="C11" s="63" t="s">
        <v>14</v>
      </c>
    </row>
    <row r="12" spans="1:3" ht="14.25">
      <c r="A12" s="4"/>
      <c r="B12" s="96" t="s">
        <v>372</v>
      </c>
      <c r="C12" s="61" t="s">
        <v>15</v>
      </c>
    </row>
    <row r="13" spans="1:3" ht="14.25">
      <c r="A13" s="4"/>
      <c r="B13" s="92" t="s">
        <v>373</v>
      </c>
      <c r="C13" s="62" t="s">
        <v>17</v>
      </c>
    </row>
    <row r="14" spans="1:3" ht="15" thickBot="1">
      <c r="A14" s="4"/>
      <c r="B14" s="97" t="s">
        <v>374</v>
      </c>
      <c r="C14" s="232" t="s">
        <v>375</v>
      </c>
    </row>
  </sheetData>
  <mergeCells count="1">
    <mergeCell ref="A2:E2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&amp;L 1. melléklet a .../...(....) önkormányzati határozathoz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K20"/>
  <sheetViews>
    <sheetView workbookViewId="0" topLeftCell="A1">
      <selection activeCell="E10" sqref="E10"/>
    </sheetView>
  </sheetViews>
  <sheetFormatPr defaultColWidth="9.00390625" defaultRowHeight="12.75"/>
  <cols>
    <col min="1" max="1" width="3.875" style="27" customWidth="1"/>
    <col min="2" max="2" width="35.75390625" style="27" bestFit="1" customWidth="1"/>
    <col min="3" max="3" width="19.375" style="27" bestFit="1" customWidth="1"/>
    <col min="4" max="4" width="8.25390625" style="27" customWidth="1"/>
    <col min="5" max="5" width="10.375" style="27" customWidth="1"/>
    <col min="6" max="6" width="12.125" style="32" customWidth="1"/>
    <col min="7" max="7" width="11.00390625" style="448" customWidth="1"/>
    <col min="8" max="8" width="13.875" style="27" bestFit="1" customWidth="1"/>
    <col min="9" max="9" width="11.375" style="27" bestFit="1" customWidth="1"/>
    <col min="10" max="10" width="7.125" style="27" customWidth="1"/>
    <col min="11" max="11" width="11.25390625" style="27" customWidth="1"/>
    <col min="12" max="16384" width="9.125" style="27" customWidth="1"/>
  </cols>
  <sheetData>
    <row r="2" spans="8:9" ht="12.75">
      <c r="H2" s="28"/>
      <c r="I2" s="32"/>
    </row>
    <row r="3" spans="1:11" s="226" customFormat="1" ht="15.75">
      <c r="A3" s="591" t="s">
        <v>384</v>
      </c>
      <c r="B3" s="591"/>
      <c r="C3" s="591"/>
      <c r="D3" s="591"/>
      <c r="E3" s="591"/>
      <c r="F3" s="591"/>
      <c r="G3" s="591"/>
      <c r="H3" s="591"/>
      <c r="I3" s="227"/>
      <c r="J3" s="227"/>
      <c r="K3" s="227"/>
    </row>
    <row r="4" spans="2:11" s="224" customFormat="1" ht="12.75">
      <c r="B4" s="225"/>
      <c r="C4" s="225"/>
      <c r="D4" s="225"/>
      <c r="E4" s="225"/>
      <c r="F4" s="331"/>
      <c r="G4" s="447"/>
      <c r="H4" s="225"/>
      <c r="I4" s="225"/>
      <c r="J4" s="225"/>
      <c r="K4" s="225"/>
    </row>
    <row r="5" spans="2:11" s="224" customFormat="1" ht="12.75">
      <c r="B5" s="225"/>
      <c r="C5" s="225"/>
      <c r="D5" s="225"/>
      <c r="E5" s="225"/>
      <c r="F5" s="331"/>
      <c r="G5" s="447"/>
      <c r="H5" s="225"/>
      <c r="I5" s="225"/>
      <c r="J5" s="225"/>
      <c r="K5" s="225"/>
    </row>
    <row r="6" spans="2:11" s="224" customFormat="1" ht="12.75">
      <c r="B6" s="225"/>
      <c r="C6" s="225"/>
      <c r="D6" s="225"/>
      <c r="E6" s="225"/>
      <c r="F6" s="331"/>
      <c r="G6" s="447"/>
      <c r="H6" s="225"/>
      <c r="I6" s="225"/>
      <c r="J6" s="225"/>
      <c r="K6" s="225"/>
    </row>
    <row r="8" ht="13.5" thickBot="1"/>
    <row r="9" spans="1:7" s="318" customFormat="1" ht="13.5" thickBot="1">
      <c r="A9" s="317"/>
      <c r="B9" s="312" t="s">
        <v>62</v>
      </c>
      <c r="C9" s="313" t="s">
        <v>63</v>
      </c>
      <c r="D9" s="313" t="s">
        <v>64</v>
      </c>
      <c r="E9" s="313" t="s">
        <v>65</v>
      </c>
      <c r="F9" s="449" t="s">
        <v>66</v>
      </c>
      <c r="G9" s="450" t="s">
        <v>67</v>
      </c>
    </row>
    <row r="10" spans="1:7" s="436" customFormat="1" ht="39" thickBot="1">
      <c r="A10" s="433"/>
      <c r="B10" s="434" t="s">
        <v>442</v>
      </c>
      <c r="C10" s="435" t="s">
        <v>443</v>
      </c>
      <c r="D10" s="296" t="s">
        <v>380</v>
      </c>
      <c r="E10" s="456" t="s">
        <v>482</v>
      </c>
      <c r="F10" s="348" t="s">
        <v>440</v>
      </c>
      <c r="G10" s="451" t="s">
        <v>41</v>
      </c>
    </row>
    <row r="11" spans="1:7" ht="12.75">
      <c r="A11" s="319" t="s">
        <v>2</v>
      </c>
      <c r="B11" s="322" t="s">
        <v>308</v>
      </c>
      <c r="C11" s="323" t="s">
        <v>444</v>
      </c>
      <c r="D11" s="324">
        <v>1000</v>
      </c>
      <c r="E11" s="324">
        <v>1000</v>
      </c>
      <c r="F11" s="191">
        <v>1839</v>
      </c>
      <c r="G11" s="452">
        <f>F11/D11*100</f>
        <v>183.9</v>
      </c>
    </row>
    <row r="12" spans="1:7" ht="12.75">
      <c r="A12" s="320" t="s">
        <v>3</v>
      </c>
      <c r="B12" s="325" t="s">
        <v>311</v>
      </c>
      <c r="C12" s="314" t="s">
        <v>445</v>
      </c>
      <c r="D12" s="321">
        <f>9000+28861</f>
        <v>37861</v>
      </c>
      <c r="E12" s="321">
        <f>9000+28861</f>
        <v>37861</v>
      </c>
      <c r="F12" s="159">
        <v>34141</v>
      </c>
      <c r="G12" s="453">
        <f aca="true" t="shared" si="0" ref="G12:G20">F12/D12*100</f>
        <v>90.17458598557883</v>
      </c>
    </row>
    <row r="13" spans="1:7" ht="12.75">
      <c r="A13" s="320" t="s">
        <v>4</v>
      </c>
      <c r="B13" s="325" t="s">
        <v>312</v>
      </c>
      <c r="C13" s="314" t="s">
        <v>446</v>
      </c>
      <c r="D13" s="321">
        <v>100</v>
      </c>
      <c r="E13" s="321">
        <v>100</v>
      </c>
      <c r="F13" s="159">
        <v>250</v>
      </c>
      <c r="G13" s="453">
        <f t="shared" si="0"/>
        <v>250</v>
      </c>
    </row>
    <row r="14" spans="1:7" ht="24">
      <c r="A14" s="320" t="s">
        <v>5</v>
      </c>
      <c r="B14" s="325" t="s">
        <v>447</v>
      </c>
      <c r="C14" s="315" t="s">
        <v>448</v>
      </c>
      <c r="D14" s="321">
        <f>15000-13000</f>
        <v>2000</v>
      </c>
      <c r="E14" s="321">
        <f>15000-13000</f>
        <v>2000</v>
      </c>
      <c r="F14" s="159">
        <v>24980</v>
      </c>
      <c r="G14" s="453">
        <f t="shared" si="0"/>
        <v>1249</v>
      </c>
    </row>
    <row r="15" spans="1:7" ht="12.75">
      <c r="A15" s="320" t="s">
        <v>6</v>
      </c>
      <c r="B15" s="325" t="s">
        <v>313</v>
      </c>
      <c r="C15" s="314" t="s">
        <v>446</v>
      </c>
      <c r="D15" s="321">
        <v>500</v>
      </c>
      <c r="E15" s="321">
        <v>500</v>
      </c>
      <c r="F15" s="159"/>
      <c r="G15" s="453">
        <f t="shared" si="0"/>
        <v>0</v>
      </c>
    </row>
    <row r="16" spans="1:7" ht="24">
      <c r="A16" s="320" t="s">
        <v>7</v>
      </c>
      <c r="B16" s="325" t="s">
        <v>449</v>
      </c>
      <c r="C16" s="315" t="s">
        <v>450</v>
      </c>
      <c r="D16" s="321">
        <f>292000-6000-29600</f>
        <v>256400</v>
      </c>
      <c r="E16" s="321">
        <f>292000-6000-29600</f>
        <v>256400</v>
      </c>
      <c r="F16" s="159">
        <v>69335</v>
      </c>
      <c r="G16" s="453">
        <f t="shared" si="0"/>
        <v>27.04173166926677</v>
      </c>
    </row>
    <row r="17" spans="1:7" ht="12.75">
      <c r="A17" s="320" t="s">
        <v>9</v>
      </c>
      <c r="B17" s="325" t="s">
        <v>451</v>
      </c>
      <c r="C17" s="315" t="s">
        <v>452</v>
      </c>
      <c r="D17" s="321">
        <v>500</v>
      </c>
      <c r="E17" s="321">
        <v>500</v>
      </c>
      <c r="F17" s="159">
        <v>350</v>
      </c>
      <c r="G17" s="453">
        <f t="shared" si="0"/>
        <v>70</v>
      </c>
    </row>
    <row r="18" spans="1:7" ht="24">
      <c r="A18" s="320" t="s">
        <v>10</v>
      </c>
      <c r="B18" s="325" t="s">
        <v>453</v>
      </c>
      <c r="C18" s="315" t="s">
        <v>454</v>
      </c>
      <c r="D18" s="321">
        <v>2500</v>
      </c>
      <c r="E18" s="321">
        <v>2500</v>
      </c>
      <c r="F18" s="159">
        <v>100</v>
      </c>
      <c r="G18" s="453">
        <f t="shared" si="0"/>
        <v>4</v>
      </c>
    </row>
    <row r="19" spans="1:7" ht="24.75" thickBot="1">
      <c r="A19" s="320" t="s">
        <v>11</v>
      </c>
      <c r="B19" s="326" t="s">
        <v>455</v>
      </c>
      <c r="C19" s="316" t="s">
        <v>456</v>
      </c>
      <c r="D19" s="327">
        <v>1800</v>
      </c>
      <c r="E19" s="327">
        <v>1800</v>
      </c>
      <c r="F19" s="194">
        <v>850</v>
      </c>
      <c r="G19" s="454">
        <f t="shared" si="0"/>
        <v>47.22222222222222</v>
      </c>
    </row>
    <row r="20" spans="1:7" ht="13.5" thickBot="1">
      <c r="A20" s="320" t="s">
        <v>13</v>
      </c>
      <c r="B20" s="328" t="s">
        <v>45</v>
      </c>
      <c r="C20" s="329"/>
      <c r="D20" s="330">
        <f>SUM(D11:D19)</f>
        <v>302661</v>
      </c>
      <c r="E20" s="330">
        <f>SUM(E11:E19)</f>
        <v>302661</v>
      </c>
      <c r="F20" s="330">
        <f>SUM(F11:F19)</f>
        <v>131845</v>
      </c>
      <c r="G20" s="502">
        <f t="shared" si="0"/>
        <v>43.56193893498006</v>
      </c>
    </row>
  </sheetData>
  <mergeCells count="1">
    <mergeCell ref="A3:H3"/>
  </mergeCells>
  <printOptions horizontalCentered="1"/>
  <pageMargins left="0.5905511811023623" right="0.1968503937007874" top="1.03" bottom="0.5905511811023623" header="0.31496062992125984" footer="0.31496062992125984"/>
  <pageSetup horizontalDpi="600" verticalDpi="600" orientation="landscape" paperSize="9" scale="95" r:id="rId1"/>
  <headerFooter alignWithMargins="0">
    <oddHeader>&amp;L&amp;8 10. melléklet a .../......(......) önkormányzati  határozathoz&amp;C&amp;"Arial CE,Félkövér"&amp;11
&amp;R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6"/>
  <sheetViews>
    <sheetView workbookViewId="0" topLeftCell="A43">
      <selection activeCell="D90" sqref="D90:D91"/>
    </sheetView>
  </sheetViews>
  <sheetFormatPr defaultColWidth="9.00390625" defaultRowHeight="12.75"/>
  <cols>
    <col min="1" max="1" width="62.875" style="75" customWidth="1"/>
    <col min="2" max="3" width="11.125" style="75" customWidth="1"/>
    <col min="4" max="4" width="12.875" style="79" bestFit="1" customWidth="1"/>
    <col min="5" max="5" width="9.125" style="336" customWidth="1"/>
    <col min="6" max="16384" width="9.125" style="75" customWidth="1"/>
  </cols>
  <sheetData>
    <row r="1" spans="1:3" ht="15">
      <c r="A1" s="592" t="s">
        <v>314</v>
      </c>
      <c r="B1" s="592"/>
      <c r="C1" s="332"/>
    </row>
    <row r="2" spans="2:5" ht="12.75">
      <c r="B2" s="335"/>
      <c r="C2" s="335"/>
      <c r="D2" s="335"/>
      <c r="E2" s="337"/>
    </row>
    <row r="3" spans="1:5" ht="13.5" thickBot="1">
      <c r="A3" s="593" t="s">
        <v>82</v>
      </c>
      <c r="B3" s="594"/>
      <c r="C3" s="594"/>
      <c r="D3" s="594"/>
      <c r="E3" s="337"/>
    </row>
    <row r="4" spans="1:5" ht="13.5" thickBot="1">
      <c r="A4" s="294" t="s">
        <v>62</v>
      </c>
      <c r="B4" s="295" t="s">
        <v>63</v>
      </c>
      <c r="C4" s="295" t="s">
        <v>64</v>
      </c>
      <c r="D4" s="346" t="s">
        <v>65</v>
      </c>
      <c r="E4" s="347" t="s">
        <v>66</v>
      </c>
    </row>
    <row r="5" spans="1:5" ht="26.25" thickBot="1">
      <c r="A5" s="184" t="s">
        <v>463</v>
      </c>
      <c r="B5" s="296" t="s">
        <v>380</v>
      </c>
      <c r="C5" s="456" t="s">
        <v>482</v>
      </c>
      <c r="D5" s="348" t="s">
        <v>440</v>
      </c>
      <c r="E5" s="468" t="s">
        <v>41</v>
      </c>
    </row>
    <row r="6" spans="1:5" ht="12.75">
      <c r="A6" s="306" t="s">
        <v>58</v>
      </c>
      <c r="B6" s="307">
        <v>10000</v>
      </c>
      <c r="C6" s="307">
        <v>10000</v>
      </c>
      <c r="D6" s="349">
        <f>48+4374+337</f>
        <v>4759</v>
      </c>
      <c r="E6" s="350">
        <f>D6/B6*100</f>
        <v>47.589999999999996</v>
      </c>
    </row>
    <row r="7" spans="1:5" ht="12.75">
      <c r="A7" s="121" t="s">
        <v>388</v>
      </c>
      <c r="B7" s="305">
        <v>24333</v>
      </c>
      <c r="C7" s="305">
        <v>24333</v>
      </c>
      <c r="D7" s="344">
        <v>228</v>
      </c>
      <c r="E7" s="351">
        <f>D7/B7*100</f>
        <v>0.9369991369744791</v>
      </c>
    </row>
    <row r="8" spans="1:5" ht="12.75">
      <c r="A8" s="121" t="s">
        <v>80</v>
      </c>
      <c r="B8" s="305">
        <v>71824</v>
      </c>
      <c r="C8" s="305">
        <v>71824</v>
      </c>
      <c r="D8" s="344">
        <v>75019</v>
      </c>
      <c r="E8" s="351">
        <f>D8/B8*100</f>
        <v>104.44837380262865</v>
      </c>
    </row>
    <row r="9" spans="1:5" ht="12.75">
      <c r="A9" s="31" t="s">
        <v>389</v>
      </c>
      <c r="B9" s="305">
        <v>157715</v>
      </c>
      <c r="C9" s="305">
        <v>157715</v>
      </c>
      <c r="D9" s="344">
        <v>4255</v>
      </c>
      <c r="E9" s="351">
        <f>D9/B9*100</f>
        <v>2.6979044478965224</v>
      </c>
    </row>
    <row r="10" spans="1:5" ht="12.75">
      <c r="A10" s="31" t="s">
        <v>390</v>
      </c>
      <c r="B10" s="305">
        <f>175239-157715</f>
        <v>17524</v>
      </c>
      <c r="C10" s="305">
        <f>175239-157715</f>
        <v>17524</v>
      </c>
      <c r="D10" s="344">
        <v>0</v>
      </c>
      <c r="E10" s="351"/>
    </row>
    <row r="11" spans="1:5" ht="12.75">
      <c r="A11" s="31" t="s">
        <v>315</v>
      </c>
      <c r="B11" s="305">
        <v>285253</v>
      </c>
      <c r="C11" s="305">
        <v>285253</v>
      </c>
      <c r="D11" s="344">
        <v>175947</v>
      </c>
      <c r="E11" s="351">
        <f>D11/B11*100</f>
        <v>61.68103402944053</v>
      </c>
    </row>
    <row r="12" spans="1:5" ht="12.75">
      <c r="A12" s="31" t="s">
        <v>316</v>
      </c>
      <c r="B12" s="305">
        <v>50338</v>
      </c>
      <c r="C12" s="305">
        <v>50338</v>
      </c>
      <c r="D12" s="344">
        <v>81964</v>
      </c>
      <c r="E12" s="351">
        <f>D12/B12*100</f>
        <v>162.82728753625491</v>
      </c>
    </row>
    <row r="13" spans="1:5" ht="12.75">
      <c r="A13" s="31" t="s">
        <v>391</v>
      </c>
      <c r="B13" s="305">
        <v>182203</v>
      </c>
      <c r="C13" s="305">
        <v>182203</v>
      </c>
      <c r="D13" s="344">
        <v>0</v>
      </c>
      <c r="E13" s="351"/>
    </row>
    <row r="14" spans="1:5" ht="12.75">
      <c r="A14" s="31" t="s">
        <v>348</v>
      </c>
      <c r="B14" s="305">
        <v>32483</v>
      </c>
      <c r="C14" s="305">
        <v>32483</v>
      </c>
      <c r="D14" s="344">
        <v>81683</v>
      </c>
      <c r="E14" s="351">
        <f>D14/B14*100</f>
        <v>251.4638426253733</v>
      </c>
    </row>
    <row r="15" spans="1:5" ht="12.75">
      <c r="A15" s="31" t="s">
        <v>392</v>
      </c>
      <c r="B15" s="305">
        <v>2888</v>
      </c>
      <c r="C15" s="305">
        <v>2888</v>
      </c>
      <c r="D15" s="344">
        <v>0</v>
      </c>
      <c r="E15" s="351"/>
    </row>
    <row r="16" spans="1:5" ht="12.75">
      <c r="A16" s="31" t="s">
        <v>393</v>
      </c>
      <c r="B16" s="305">
        <v>572</v>
      </c>
      <c r="C16" s="305">
        <v>572</v>
      </c>
      <c r="D16" s="344">
        <v>0</v>
      </c>
      <c r="E16" s="351"/>
    </row>
    <row r="17" spans="1:5" ht="12.75">
      <c r="A17" s="31" t="s">
        <v>317</v>
      </c>
      <c r="B17" s="305">
        <v>108557</v>
      </c>
      <c r="C17" s="305">
        <v>108557</v>
      </c>
      <c r="D17" s="344">
        <v>0</v>
      </c>
      <c r="E17" s="351"/>
    </row>
    <row r="18" spans="1:5" ht="12.75">
      <c r="A18" s="121" t="s">
        <v>394</v>
      </c>
      <c r="B18" s="305">
        <v>149430</v>
      </c>
      <c r="C18" s="305">
        <v>149430</v>
      </c>
      <c r="D18" s="344">
        <v>2911</v>
      </c>
      <c r="E18" s="351">
        <f>D18/B18*100</f>
        <v>1.9480693301211267</v>
      </c>
    </row>
    <row r="19" spans="1:5" ht="12.75">
      <c r="A19" s="121" t="s">
        <v>395</v>
      </c>
      <c r="B19" s="305">
        <f>157295-149430</f>
        <v>7865</v>
      </c>
      <c r="C19" s="305">
        <f>157295-149430</f>
        <v>7865</v>
      </c>
      <c r="D19" s="344">
        <v>0</v>
      </c>
      <c r="E19" s="351"/>
    </row>
    <row r="20" spans="1:5" ht="25.5">
      <c r="A20" s="299" t="s">
        <v>396</v>
      </c>
      <c r="B20" s="120">
        <v>337866</v>
      </c>
      <c r="C20" s="120">
        <v>337866</v>
      </c>
      <c r="D20" s="344">
        <v>81618</v>
      </c>
      <c r="E20" s="351">
        <f>D20/B20*100</f>
        <v>24.15691427962565</v>
      </c>
    </row>
    <row r="21" spans="1:5" ht="12.75">
      <c r="A21" s="121" t="s">
        <v>397</v>
      </c>
      <c r="B21" s="120">
        <v>97222</v>
      </c>
      <c r="C21" s="120">
        <v>97222</v>
      </c>
      <c r="D21" s="344">
        <v>24306</v>
      </c>
      <c r="E21" s="351">
        <f>D21/B21*100</f>
        <v>25.000514286889796</v>
      </c>
    </row>
    <row r="22" spans="1:5" ht="12.75">
      <c r="A22" s="121" t="s">
        <v>398</v>
      </c>
      <c r="B22" s="120">
        <v>10000</v>
      </c>
      <c r="C22" s="120">
        <v>10000</v>
      </c>
      <c r="D22" s="344">
        <v>0</v>
      </c>
      <c r="E22" s="351"/>
    </row>
    <row r="23" spans="1:5" ht="12.75">
      <c r="A23" s="121" t="s">
        <v>399</v>
      </c>
      <c r="B23" s="120">
        <v>3500</v>
      </c>
      <c r="C23" s="120">
        <v>3500</v>
      </c>
      <c r="D23" s="344">
        <v>0</v>
      </c>
      <c r="E23" s="351"/>
    </row>
    <row r="24" spans="1:5" ht="25.5">
      <c r="A24" s="299" t="s">
        <v>400</v>
      </c>
      <c r="B24" s="120">
        <v>147177</v>
      </c>
      <c r="C24" s="120">
        <v>147177</v>
      </c>
      <c r="D24" s="344">
        <v>0</v>
      </c>
      <c r="E24" s="351"/>
    </row>
    <row r="25" spans="1:5" ht="12.75">
      <c r="A25" s="121" t="s">
        <v>401</v>
      </c>
      <c r="B25" s="120">
        <v>39673</v>
      </c>
      <c r="C25" s="120">
        <v>39673</v>
      </c>
      <c r="D25" s="344">
        <v>0</v>
      </c>
      <c r="E25" s="351"/>
    </row>
    <row r="26" spans="1:5" ht="12.75">
      <c r="A26" s="121" t="s">
        <v>402</v>
      </c>
      <c r="B26" s="120">
        <v>14834</v>
      </c>
      <c r="C26" s="120">
        <v>14834</v>
      </c>
      <c r="D26" s="344">
        <v>0</v>
      </c>
      <c r="E26" s="351"/>
    </row>
    <row r="27" spans="1:5" ht="38.25">
      <c r="A27" s="299" t="s">
        <v>403</v>
      </c>
      <c r="B27" s="120">
        <v>34991</v>
      </c>
      <c r="C27" s="120">
        <v>34991</v>
      </c>
      <c r="D27" s="344">
        <v>8748</v>
      </c>
      <c r="E27" s="351">
        <f>D27/B27*100</f>
        <v>25.000714469435</v>
      </c>
    </row>
    <row r="28" spans="1:5" ht="12.75">
      <c r="A28" s="121" t="s">
        <v>404</v>
      </c>
      <c r="B28" s="120">
        <v>18000</v>
      </c>
      <c r="C28" s="120">
        <v>18000</v>
      </c>
      <c r="D28" s="344">
        <v>0</v>
      </c>
      <c r="E28" s="351"/>
    </row>
    <row r="29" spans="1:5" ht="12.75">
      <c r="A29" s="121" t="s">
        <v>405</v>
      </c>
      <c r="B29" s="120">
        <v>60000</v>
      </c>
      <c r="C29" s="120">
        <v>60000</v>
      </c>
      <c r="D29" s="344">
        <v>0</v>
      </c>
      <c r="E29" s="351"/>
    </row>
    <row r="30" spans="1:5" ht="12.75">
      <c r="A30" s="121" t="s">
        <v>406</v>
      </c>
      <c r="B30" s="120">
        <v>15000</v>
      </c>
      <c r="C30" s="120">
        <v>15000</v>
      </c>
      <c r="D30" s="344">
        <f>3447+672</f>
        <v>4119</v>
      </c>
      <c r="E30" s="351">
        <f>D30/B30*100</f>
        <v>27.46</v>
      </c>
    </row>
    <row r="31" spans="1:5" ht="12.75">
      <c r="A31" s="121" t="s">
        <v>407</v>
      </c>
      <c r="B31" s="120">
        <v>36578</v>
      </c>
      <c r="C31" s="120">
        <v>36578</v>
      </c>
      <c r="D31" s="344">
        <v>8606</v>
      </c>
      <c r="E31" s="351">
        <f>D31/B31*100</f>
        <v>23.52780359779102</v>
      </c>
    </row>
    <row r="32" spans="1:5" ht="12.75">
      <c r="A32" s="121" t="s">
        <v>472</v>
      </c>
      <c r="B32" s="120"/>
      <c r="C32" s="531"/>
      <c r="D32" s="344">
        <v>3221</v>
      </c>
      <c r="E32" s="351"/>
    </row>
    <row r="33" spans="1:5" ht="12.75">
      <c r="A33" s="121" t="s">
        <v>79</v>
      </c>
      <c r="B33" s="120">
        <v>6500</v>
      </c>
      <c r="C33" s="120">
        <v>6500</v>
      </c>
      <c r="D33" s="344">
        <v>2773</v>
      </c>
      <c r="E33" s="351">
        <f>D33/B33*100</f>
        <v>42.66153846153846</v>
      </c>
    </row>
    <row r="34" spans="1:5" ht="12.75">
      <c r="A34" s="121" t="s">
        <v>319</v>
      </c>
      <c r="B34" s="120">
        <v>70000</v>
      </c>
      <c r="C34" s="120">
        <v>70000</v>
      </c>
      <c r="D34" s="344">
        <v>32525</v>
      </c>
      <c r="E34" s="351">
        <f>D34/B34*100</f>
        <v>46.464285714285715</v>
      </c>
    </row>
    <row r="35" spans="1:5" ht="12.75">
      <c r="A35" s="121" t="s">
        <v>318</v>
      </c>
      <c r="B35" s="120">
        <v>6860</v>
      </c>
      <c r="C35" s="120">
        <v>6860</v>
      </c>
      <c r="D35" s="344">
        <v>0</v>
      </c>
      <c r="E35" s="351"/>
    </row>
    <row r="36" spans="1:5" ht="12.75">
      <c r="A36" s="121" t="s">
        <v>408</v>
      </c>
      <c r="B36" s="120">
        <v>9000</v>
      </c>
      <c r="C36" s="120">
        <v>9000</v>
      </c>
      <c r="D36" s="344">
        <v>2419</v>
      </c>
      <c r="E36" s="351">
        <f>D36/B36*100</f>
        <v>26.87777777777778</v>
      </c>
    </row>
    <row r="37" spans="1:5" ht="12.75">
      <c r="A37" s="121" t="s">
        <v>464</v>
      </c>
      <c r="B37" s="120"/>
      <c r="C37" s="531"/>
      <c r="D37" s="344">
        <v>304867</v>
      </c>
      <c r="E37" s="351"/>
    </row>
    <row r="38" spans="1:5" ht="12.75">
      <c r="A38" s="121" t="s">
        <v>465</v>
      </c>
      <c r="B38" s="120"/>
      <c r="C38" s="531"/>
      <c r="D38" s="344">
        <v>945</v>
      </c>
      <c r="E38" s="351"/>
    </row>
    <row r="39" spans="1:5" ht="12.75">
      <c r="A39" s="121" t="s">
        <v>466</v>
      </c>
      <c r="B39" s="120"/>
      <c r="C39" s="531">
        <v>453</v>
      </c>
      <c r="D39" s="344">
        <v>453</v>
      </c>
      <c r="E39" s="351">
        <f>D39/C39*100</f>
        <v>100</v>
      </c>
    </row>
    <row r="40" spans="1:5" ht="12.75">
      <c r="A40" s="121" t="s">
        <v>471</v>
      </c>
      <c r="B40" s="120"/>
      <c r="C40" s="120"/>
      <c r="D40" s="344">
        <v>1164</v>
      </c>
      <c r="E40" s="351"/>
    </row>
    <row r="41" spans="1:5" ht="13.5" thickBot="1">
      <c r="A41" s="277" t="s">
        <v>409</v>
      </c>
      <c r="B41" s="301">
        <v>714070</v>
      </c>
      <c r="C41" s="301">
        <v>714070</v>
      </c>
      <c r="D41" s="352">
        <v>0</v>
      </c>
      <c r="E41" s="353"/>
    </row>
    <row r="42" spans="1:5" ht="15.75" thickBot="1">
      <c r="A42" s="308" t="s">
        <v>16</v>
      </c>
      <c r="B42" s="309">
        <f>SUM(B6:B41)</f>
        <v>2722256</v>
      </c>
      <c r="C42" s="309">
        <f>SUM(C6:C41)</f>
        <v>2722709</v>
      </c>
      <c r="D42" s="309">
        <f>SUM(D6:D41)</f>
        <v>902530</v>
      </c>
      <c r="E42" s="466">
        <f>D42/C42*100</f>
        <v>33.1482358195459</v>
      </c>
    </row>
    <row r="43" spans="2:5" ht="12.75">
      <c r="B43" s="275"/>
      <c r="C43" s="275"/>
      <c r="D43" s="333"/>
      <c r="E43" s="337"/>
    </row>
    <row r="44" spans="2:5" ht="12.75">
      <c r="B44" s="275"/>
      <c r="C44" s="275"/>
      <c r="D44" s="333"/>
      <c r="E44" s="337"/>
    </row>
    <row r="45" spans="2:5" ht="12.75">
      <c r="B45" s="275"/>
      <c r="C45" s="275"/>
      <c r="D45" s="333"/>
      <c r="E45" s="337"/>
    </row>
    <row r="46" spans="1:5" ht="15">
      <c r="A46" s="592" t="s">
        <v>320</v>
      </c>
      <c r="B46" s="592"/>
      <c r="C46" s="592"/>
      <c r="D46" s="592"/>
      <c r="E46" s="337"/>
    </row>
    <row r="47" spans="2:5" ht="12.75">
      <c r="B47" s="275"/>
      <c r="C47" s="275"/>
      <c r="D47" s="333"/>
      <c r="E47" s="337"/>
    </row>
    <row r="48" spans="1:5" ht="13.5" thickBot="1">
      <c r="A48" s="593" t="s">
        <v>82</v>
      </c>
      <c r="B48" s="594"/>
      <c r="C48" s="594"/>
      <c r="D48" s="594"/>
      <c r="E48" s="337"/>
    </row>
    <row r="49" spans="1:5" s="291" customFormat="1" ht="13.5" thickBot="1">
      <c r="A49" s="294" t="s">
        <v>62</v>
      </c>
      <c r="B49" s="295" t="s">
        <v>63</v>
      </c>
      <c r="C49" s="295" t="s">
        <v>64</v>
      </c>
      <c r="D49" s="346" t="s">
        <v>65</v>
      </c>
      <c r="E49" s="347" t="s">
        <v>66</v>
      </c>
    </row>
    <row r="50" spans="1:5" s="292" customFormat="1" ht="26.25" thickBot="1">
      <c r="A50" s="184" t="s">
        <v>47</v>
      </c>
      <c r="B50" s="296" t="s">
        <v>380</v>
      </c>
      <c r="C50" s="456" t="s">
        <v>482</v>
      </c>
      <c r="D50" s="348" t="s">
        <v>440</v>
      </c>
      <c r="E50" s="468" t="s">
        <v>41</v>
      </c>
    </row>
    <row r="51" spans="1:5" ht="12.75">
      <c r="A51" s="297" t="s">
        <v>349</v>
      </c>
      <c r="B51" s="298">
        <f>SUM(B52:B71)</f>
        <v>1538839</v>
      </c>
      <c r="C51" s="298">
        <f>SUM(C52:C71)</f>
        <v>1538839</v>
      </c>
      <c r="D51" s="298">
        <f>SUM(D52:D78)</f>
        <v>158583</v>
      </c>
      <c r="E51" s="467">
        <f>D51/B51*100</f>
        <v>10.30536657831001</v>
      </c>
    </row>
    <row r="52" spans="1:5" ht="12.75">
      <c r="A52" s="121" t="s">
        <v>417</v>
      </c>
      <c r="B52" s="293">
        <v>24333</v>
      </c>
      <c r="C52" s="293">
        <v>24333</v>
      </c>
      <c r="D52" s="344">
        <v>228</v>
      </c>
      <c r="E52" s="351">
        <f>D52/B52*100</f>
        <v>0.9369991369744791</v>
      </c>
    </row>
    <row r="53" spans="1:5" ht="12.75">
      <c r="A53" s="31" t="s">
        <v>322</v>
      </c>
      <c r="B53" s="120">
        <v>108557</v>
      </c>
      <c r="C53" s="120">
        <v>108557</v>
      </c>
      <c r="D53" s="344">
        <v>0</v>
      </c>
      <c r="E53" s="351"/>
    </row>
    <row r="54" spans="1:5" ht="12.75">
      <c r="A54" s="31" t="s">
        <v>418</v>
      </c>
      <c r="B54" s="120">
        <v>175239</v>
      </c>
      <c r="C54" s="120">
        <v>175239</v>
      </c>
      <c r="D54" s="344">
        <v>3320</v>
      </c>
      <c r="E54" s="351">
        <f>D54/B54*100</f>
        <v>1.8945554357192178</v>
      </c>
    </row>
    <row r="55" spans="1:5" ht="12.75">
      <c r="A55" s="31" t="s">
        <v>315</v>
      </c>
      <c r="B55" s="120">
        <v>335591</v>
      </c>
      <c r="C55" s="120">
        <v>335591</v>
      </c>
      <c r="D55" s="344">
        <f>50550+39135</f>
        <v>89685</v>
      </c>
      <c r="E55" s="351">
        <f>D55/B55*100</f>
        <v>26.72449499539618</v>
      </c>
    </row>
    <row r="56" spans="1:5" ht="12.75">
      <c r="A56" s="121" t="s">
        <v>419</v>
      </c>
      <c r="B56" s="120">
        <v>157295</v>
      </c>
      <c r="C56" s="120">
        <v>157295</v>
      </c>
      <c r="D56" s="344">
        <v>5080</v>
      </c>
      <c r="E56" s="351">
        <f>D56/B56*100</f>
        <v>3.229600432308719</v>
      </c>
    </row>
    <row r="57" spans="1:5" ht="25.5">
      <c r="A57" s="299" t="s">
        <v>396</v>
      </c>
      <c r="B57" s="120">
        <v>337866</v>
      </c>
      <c r="C57" s="120">
        <v>337866</v>
      </c>
      <c r="D57" s="344">
        <v>5397</v>
      </c>
      <c r="E57" s="351">
        <f>D57/B57*100</f>
        <v>1.597378842499689</v>
      </c>
    </row>
    <row r="58" spans="1:5" ht="12.75">
      <c r="A58" s="121" t="s">
        <v>420</v>
      </c>
      <c r="B58" s="120">
        <v>97222</v>
      </c>
      <c r="C58" s="120">
        <v>97222</v>
      </c>
      <c r="D58" s="344">
        <v>0</v>
      </c>
      <c r="E58" s="351"/>
    </row>
    <row r="59" spans="1:5" ht="12.75">
      <c r="A59" s="121" t="s">
        <v>421</v>
      </c>
      <c r="B59" s="120">
        <v>14590</v>
      </c>
      <c r="C59" s="120">
        <v>14590</v>
      </c>
      <c r="D59" s="344">
        <v>4589</v>
      </c>
      <c r="E59" s="351">
        <f>D59/B59*100</f>
        <v>31.453050034270046</v>
      </c>
    </row>
    <row r="60" spans="1:5" ht="12.75">
      <c r="A60" s="121" t="s">
        <v>422</v>
      </c>
      <c r="B60" s="120">
        <v>6500</v>
      </c>
      <c r="C60" s="120">
        <v>6500</v>
      </c>
      <c r="D60" s="344">
        <v>0</v>
      </c>
      <c r="E60" s="351"/>
    </row>
    <row r="61" spans="1:5" ht="25.5">
      <c r="A61" s="299" t="s">
        <v>423</v>
      </c>
      <c r="B61" s="120">
        <v>147177</v>
      </c>
      <c r="C61" s="120">
        <v>147177</v>
      </c>
      <c r="D61" s="344">
        <v>0</v>
      </c>
      <c r="E61" s="351"/>
    </row>
    <row r="62" spans="1:5" ht="25.5">
      <c r="A62" s="299" t="s">
        <v>424</v>
      </c>
      <c r="B62" s="120">
        <v>39673</v>
      </c>
      <c r="C62" s="120">
        <v>39673</v>
      </c>
      <c r="D62" s="344">
        <v>0</v>
      </c>
      <c r="E62" s="351"/>
    </row>
    <row r="63" spans="1:5" ht="12.75">
      <c r="A63" s="121" t="s">
        <v>402</v>
      </c>
      <c r="B63" s="120">
        <v>14834</v>
      </c>
      <c r="C63" s="120">
        <v>14834</v>
      </c>
      <c r="D63" s="344">
        <v>0</v>
      </c>
      <c r="E63" s="351"/>
    </row>
    <row r="64" spans="1:5" ht="12.75">
      <c r="A64" s="121" t="s">
        <v>425</v>
      </c>
      <c r="B64" s="120">
        <v>1499</v>
      </c>
      <c r="C64" s="120">
        <v>1499</v>
      </c>
      <c r="D64" s="344">
        <v>1753</v>
      </c>
      <c r="E64" s="351">
        <f>D64/B64*100</f>
        <v>116.94462975316877</v>
      </c>
    </row>
    <row r="65" spans="1:5" ht="12.75">
      <c r="A65" s="121" t="s">
        <v>426</v>
      </c>
      <c r="B65" s="120">
        <v>18000</v>
      </c>
      <c r="C65" s="120">
        <v>18000</v>
      </c>
      <c r="D65" s="344">
        <v>0</v>
      </c>
      <c r="E65" s="351"/>
    </row>
    <row r="66" spans="1:5" ht="12.75">
      <c r="A66" s="31" t="s">
        <v>427</v>
      </c>
      <c r="B66" s="120">
        <v>572</v>
      </c>
      <c r="C66" s="120">
        <v>572</v>
      </c>
      <c r="D66" s="344">
        <v>0</v>
      </c>
      <c r="E66" s="351"/>
    </row>
    <row r="67" spans="1:5" ht="12.75">
      <c r="A67" s="31" t="s">
        <v>428</v>
      </c>
      <c r="B67" s="120">
        <v>1000</v>
      </c>
      <c r="C67" s="120">
        <v>1000</v>
      </c>
      <c r="D67" s="344">
        <v>0</v>
      </c>
      <c r="E67" s="351"/>
    </row>
    <row r="68" spans="1:5" ht="12.75">
      <c r="A68" s="121" t="s">
        <v>429</v>
      </c>
      <c r="B68" s="120">
        <v>15000</v>
      </c>
      <c r="C68" s="120">
        <v>15000</v>
      </c>
      <c r="D68" s="344">
        <v>0</v>
      </c>
      <c r="E68" s="351"/>
    </row>
    <row r="69" spans="1:5" ht="12.75">
      <c r="A69" s="121" t="s">
        <v>430</v>
      </c>
      <c r="B69" s="120">
        <f>2200+3700</f>
        <v>5900</v>
      </c>
      <c r="C69" s="120">
        <f>2200+3700</f>
        <v>5900</v>
      </c>
      <c r="D69" s="344">
        <f>3331+1524</f>
        <v>4855</v>
      </c>
      <c r="E69" s="351">
        <f>D69/B69*100</f>
        <v>82.28813559322033</v>
      </c>
    </row>
    <row r="70" spans="1:5" ht="12.75">
      <c r="A70" s="121" t="s">
        <v>431</v>
      </c>
      <c r="B70" s="120">
        <v>3000</v>
      </c>
      <c r="C70" s="120">
        <v>3000</v>
      </c>
      <c r="D70" s="344">
        <f>1300+3000</f>
        <v>4300</v>
      </c>
      <c r="E70" s="351">
        <f>D70/B70*100</f>
        <v>143.33333333333334</v>
      </c>
    </row>
    <row r="71" spans="1:5" ht="38.25">
      <c r="A71" s="299" t="s">
        <v>403</v>
      </c>
      <c r="B71" s="120">
        <v>34991</v>
      </c>
      <c r="C71" s="120">
        <v>34991</v>
      </c>
      <c r="D71" s="344">
        <v>0</v>
      </c>
      <c r="E71" s="351"/>
    </row>
    <row r="72" spans="1:5" ht="12.75">
      <c r="A72" s="299" t="s">
        <v>458</v>
      </c>
      <c r="B72" s="120"/>
      <c r="C72" s="120"/>
      <c r="D72" s="344">
        <v>185</v>
      </c>
      <c r="E72" s="351"/>
    </row>
    <row r="73" spans="1:5" ht="12.75">
      <c r="A73" s="299" t="s">
        <v>459</v>
      </c>
      <c r="B73" s="120"/>
      <c r="C73" s="120"/>
      <c r="D73" s="344">
        <f>1179+677</f>
        <v>1856</v>
      </c>
      <c r="E73" s="351"/>
    </row>
    <row r="74" spans="1:5" ht="12.75">
      <c r="A74" s="299" t="s">
        <v>460</v>
      </c>
      <c r="B74" s="120"/>
      <c r="C74" s="120"/>
      <c r="D74" s="344">
        <v>10373</v>
      </c>
      <c r="E74" s="351"/>
    </row>
    <row r="75" spans="1:5" ht="12.75">
      <c r="A75" s="299" t="s">
        <v>468</v>
      </c>
      <c r="B75" s="120"/>
      <c r="C75" s="120"/>
      <c r="D75" s="344">
        <v>2000</v>
      </c>
      <c r="E75" s="351"/>
    </row>
    <row r="76" spans="1:5" ht="12.75">
      <c r="A76" s="299" t="s">
        <v>469</v>
      </c>
      <c r="B76" s="120"/>
      <c r="C76" s="120"/>
      <c r="D76" s="344">
        <v>1948</v>
      </c>
      <c r="E76" s="351"/>
    </row>
    <row r="77" spans="1:5" ht="12.75">
      <c r="A77" s="299" t="s">
        <v>461</v>
      </c>
      <c r="B77" s="120"/>
      <c r="C77" s="120"/>
      <c r="D77" s="344">
        <v>1024</v>
      </c>
      <c r="E77" s="351"/>
    </row>
    <row r="78" spans="1:5" ht="13.5" thickBot="1">
      <c r="A78" s="300" t="s">
        <v>462</v>
      </c>
      <c r="B78" s="301"/>
      <c r="C78" s="301"/>
      <c r="D78" s="352">
        <v>21990</v>
      </c>
      <c r="E78" s="351"/>
    </row>
    <row r="79" spans="1:5" ht="12.75">
      <c r="A79" s="276" t="s">
        <v>350</v>
      </c>
      <c r="B79" s="302">
        <f>SUM(B80:B87)</f>
        <v>212144</v>
      </c>
      <c r="C79" s="302">
        <f>SUM(C80:C87)</f>
        <v>212144</v>
      </c>
      <c r="D79" s="302">
        <f>SUM(D80:D87)</f>
        <v>272826</v>
      </c>
      <c r="E79" s="467">
        <f>D79/B79*100</f>
        <v>128.60415566784826</v>
      </c>
    </row>
    <row r="80" spans="1:5" ht="12.75">
      <c r="A80" s="31" t="s">
        <v>321</v>
      </c>
      <c r="B80" s="120">
        <f>71824-10400</f>
        <v>61424</v>
      </c>
      <c r="C80" s="120">
        <f>71824-10400</f>
        <v>61424</v>
      </c>
      <c r="D80" s="344">
        <v>39859</v>
      </c>
      <c r="E80" s="351">
        <f>D80/B80*100</f>
        <v>64.89157332638707</v>
      </c>
    </row>
    <row r="81" spans="1:5" ht="12.75">
      <c r="A81" s="31" t="s">
        <v>457</v>
      </c>
      <c r="B81" s="120"/>
      <c r="C81" s="120"/>
      <c r="D81" s="344">
        <v>154757</v>
      </c>
      <c r="E81" s="351"/>
    </row>
    <row r="82" spans="1:5" ht="12.75">
      <c r="A82" s="31" t="s">
        <v>432</v>
      </c>
      <c r="B82" s="120">
        <f>32483-7294</f>
        <v>25189</v>
      </c>
      <c r="C82" s="120">
        <f>32483-7294</f>
        <v>25189</v>
      </c>
      <c r="D82" s="344">
        <v>68882</v>
      </c>
      <c r="E82" s="351">
        <f>D82/B82*100</f>
        <v>273.460637579896</v>
      </c>
    </row>
    <row r="83" spans="1:5" ht="12.75">
      <c r="A83" s="31" t="s">
        <v>433</v>
      </c>
      <c r="B83" s="120">
        <f>2888-1000</f>
        <v>1888</v>
      </c>
      <c r="C83" s="120">
        <f>2888-1000</f>
        <v>1888</v>
      </c>
      <c r="D83" s="344">
        <v>0</v>
      </c>
      <c r="E83" s="351"/>
    </row>
    <row r="84" spans="1:5" ht="12.75">
      <c r="A84" s="121" t="s">
        <v>434</v>
      </c>
      <c r="B84" s="120">
        <v>60000</v>
      </c>
      <c r="C84" s="120">
        <v>60000</v>
      </c>
      <c r="D84" s="344">
        <v>0</v>
      </c>
      <c r="E84" s="351"/>
    </row>
    <row r="85" spans="1:5" ht="12.75">
      <c r="A85" s="121" t="s">
        <v>435</v>
      </c>
      <c r="B85" s="120">
        <v>36578</v>
      </c>
      <c r="C85" s="120">
        <v>36578</v>
      </c>
      <c r="D85" s="344">
        <v>6599</v>
      </c>
      <c r="E85" s="351">
        <f>D85/B85*100</f>
        <v>18.040898900978732</v>
      </c>
    </row>
    <row r="86" spans="1:5" ht="12.75">
      <c r="A86" s="121" t="s">
        <v>470</v>
      </c>
      <c r="B86" s="120">
        <v>6860</v>
      </c>
      <c r="C86" s="120">
        <v>6860</v>
      </c>
      <c r="D86" s="344">
        <v>2729</v>
      </c>
      <c r="E86" s="351">
        <f>D86/B86*100</f>
        <v>39.78134110787172</v>
      </c>
    </row>
    <row r="87" spans="1:5" ht="13.5" thickBot="1">
      <c r="A87" s="277" t="s">
        <v>437</v>
      </c>
      <c r="B87" s="301">
        <f>23205-3000</f>
        <v>20205</v>
      </c>
      <c r="C87" s="301">
        <f>23205-3000</f>
        <v>20205</v>
      </c>
      <c r="D87" s="352">
        <v>0</v>
      </c>
      <c r="E87" s="351"/>
    </row>
    <row r="88" spans="1:5" ht="12.75">
      <c r="A88" s="276" t="s">
        <v>351</v>
      </c>
      <c r="B88" s="302">
        <f>SUM(B89:B95)</f>
        <v>971273</v>
      </c>
      <c r="C88" s="302">
        <f>SUM(C89:C95)</f>
        <v>971273</v>
      </c>
      <c r="D88" s="302">
        <f>SUM(D89:D95)</f>
        <v>482827</v>
      </c>
      <c r="E88" s="467">
        <f>D88/B88*100</f>
        <v>49.71074044063821</v>
      </c>
    </row>
    <row r="89" spans="1:5" ht="12.75">
      <c r="A89" s="121" t="s">
        <v>287</v>
      </c>
      <c r="B89" s="120">
        <v>70000</v>
      </c>
      <c r="C89" s="120">
        <v>70000</v>
      </c>
      <c r="D89" s="344">
        <v>41493</v>
      </c>
      <c r="E89" s="351">
        <f>D89/B89*100</f>
        <v>59.27571428571429</v>
      </c>
    </row>
    <row r="90" spans="1:5" ht="12.75">
      <c r="A90" s="121" t="s">
        <v>48</v>
      </c>
      <c r="B90" s="120">
        <v>5000</v>
      </c>
      <c r="C90" s="120">
        <v>5000</v>
      </c>
      <c r="D90" s="344">
        <v>600</v>
      </c>
      <c r="E90" s="351">
        <f>D90/B90*100</f>
        <v>12</v>
      </c>
    </row>
    <row r="91" spans="1:5" ht="12.75">
      <c r="A91" s="121" t="s">
        <v>438</v>
      </c>
      <c r="B91" s="120">
        <v>182203</v>
      </c>
      <c r="C91" s="120">
        <v>182203</v>
      </c>
      <c r="D91" s="344">
        <v>91101</v>
      </c>
      <c r="E91" s="351">
        <f>D91/B91*100</f>
        <v>49.99972558080822</v>
      </c>
    </row>
    <row r="92" spans="1:5" ht="12.75">
      <c r="A92" s="121" t="s">
        <v>441</v>
      </c>
      <c r="B92" s="120"/>
      <c r="C92" s="120"/>
      <c r="D92" s="344">
        <v>500</v>
      </c>
      <c r="E92" s="351"/>
    </row>
    <row r="93" spans="1:5" ht="12.75">
      <c r="A93" s="121" t="s">
        <v>467</v>
      </c>
      <c r="B93" s="120"/>
      <c r="C93" s="120"/>
      <c r="D93" s="344">
        <v>6740</v>
      </c>
      <c r="E93" s="351"/>
    </row>
    <row r="94" spans="1:5" ht="12.75">
      <c r="A94" s="565" t="s">
        <v>492</v>
      </c>
      <c r="B94" s="566"/>
      <c r="C94" s="566"/>
      <c r="D94" s="567">
        <v>342393</v>
      </c>
      <c r="E94" s="351"/>
    </row>
    <row r="95" spans="1:5" ht="13.5" thickBot="1">
      <c r="A95" s="277" t="s">
        <v>439</v>
      </c>
      <c r="B95" s="301">
        <v>714070</v>
      </c>
      <c r="C95" s="301">
        <v>714070</v>
      </c>
      <c r="D95" s="352"/>
      <c r="E95" s="351"/>
    </row>
    <row r="96" spans="1:5" ht="15.75" thickBot="1">
      <c r="A96" s="303" t="s">
        <v>16</v>
      </c>
      <c r="B96" s="304">
        <f>B51+B79+B88</f>
        <v>2722256</v>
      </c>
      <c r="C96" s="304">
        <f>C51+C79+C88</f>
        <v>2722256</v>
      </c>
      <c r="D96" s="304">
        <f>D51+D79+D88</f>
        <v>914236</v>
      </c>
      <c r="E96" s="466">
        <f>D96/B96*100</f>
        <v>33.58376287902387</v>
      </c>
    </row>
    <row r="97" spans="2:5" ht="12.75">
      <c r="B97" s="275"/>
      <c r="C97" s="275"/>
      <c r="D97" s="333"/>
      <c r="E97" s="337"/>
    </row>
    <row r="98" spans="2:5" ht="12.75">
      <c r="B98" s="275"/>
      <c r="C98" s="275"/>
      <c r="D98" s="333"/>
      <c r="E98" s="337"/>
    </row>
    <row r="99" spans="2:5" ht="12.75">
      <c r="B99" s="275"/>
      <c r="C99" s="275"/>
      <c r="D99" s="333"/>
      <c r="E99" s="337"/>
    </row>
    <row r="100" spans="2:5" ht="12.75">
      <c r="B100" s="275"/>
      <c r="C100" s="275"/>
      <c r="D100" s="333"/>
      <c r="E100" s="337"/>
    </row>
    <row r="101" spans="2:5" ht="12.75">
      <c r="B101" s="275"/>
      <c r="C101" s="275"/>
      <c r="D101" s="333"/>
      <c r="E101" s="337"/>
    </row>
    <row r="102" spans="2:5" ht="12.75">
      <c r="B102" s="275"/>
      <c r="C102" s="275"/>
      <c r="D102" s="333"/>
      <c r="E102" s="337"/>
    </row>
    <row r="103" spans="2:5" ht="12.75">
      <c r="B103" s="275"/>
      <c r="C103" s="275"/>
      <c r="D103" s="333"/>
      <c r="E103" s="337"/>
    </row>
    <row r="104" spans="2:5" ht="12.75">
      <c r="B104" s="275"/>
      <c r="C104" s="275"/>
      <c r="D104" s="333"/>
      <c r="E104" s="337"/>
    </row>
    <row r="105" spans="2:5" ht="12.75">
      <c r="B105" s="275"/>
      <c r="C105" s="275"/>
      <c r="D105" s="333"/>
      <c r="E105" s="337"/>
    </row>
    <row r="106" spans="2:5" ht="12.75">
      <c r="B106" s="275"/>
      <c r="C106" s="275"/>
      <c r="D106" s="333"/>
      <c r="E106" s="337"/>
    </row>
    <row r="107" spans="1:6" ht="12.75">
      <c r="A107" s="278"/>
      <c r="B107" s="279"/>
      <c r="C107" s="279"/>
      <c r="D107" s="334"/>
      <c r="E107" s="338"/>
      <c r="F107" s="278"/>
    </row>
    <row r="108" spans="1:6" ht="12.75">
      <c r="A108" s="278"/>
      <c r="B108" s="279"/>
      <c r="C108" s="279"/>
      <c r="D108" s="334"/>
      <c r="E108" s="338"/>
      <c r="F108" s="278"/>
    </row>
    <row r="109" spans="1:7" ht="12.75">
      <c r="A109" s="76"/>
      <c r="B109" s="279"/>
      <c r="C109" s="279"/>
      <c r="D109" s="334"/>
      <c r="E109" s="338"/>
      <c r="F109" s="76"/>
      <c r="G109" s="78"/>
    </row>
    <row r="110" spans="1:7" ht="15">
      <c r="A110" s="76"/>
      <c r="B110" s="280"/>
      <c r="C110" s="280"/>
      <c r="D110" s="114"/>
      <c r="E110" s="338"/>
      <c r="F110" s="76"/>
      <c r="G110" s="78"/>
    </row>
    <row r="111" spans="1:7" ht="12.75">
      <c r="A111" s="76"/>
      <c r="B111" s="76"/>
      <c r="C111" s="76"/>
      <c r="D111" s="114"/>
      <c r="E111" s="338"/>
      <c r="F111" s="76"/>
      <c r="G111" s="78"/>
    </row>
    <row r="112" spans="1:7" s="27" customFormat="1" ht="12.75">
      <c r="A112" s="281"/>
      <c r="B112" s="282"/>
      <c r="C112" s="282"/>
      <c r="D112" s="282"/>
      <c r="E112" s="339"/>
      <c r="F112" s="283"/>
      <c r="G112" s="202"/>
    </row>
    <row r="113" spans="1:7" ht="15" customHeight="1">
      <c r="A113" s="284"/>
      <c r="B113" s="285"/>
      <c r="C113" s="285"/>
      <c r="D113" s="285"/>
      <c r="E113" s="340"/>
      <c r="F113" s="76"/>
      <c r="G113" s="78"/>
    </row>
    <row r="114" spans="1:7" ht="15" customHeight="1">
      <c r="A114" s="213"/>
      <c r="B114" s="286"/>
      <c r="C114" s="286"/>
      <c r="D114" s="114"/>
      <c r="E114" s="338"/>
      <c r="F114" s="76"/>
      <c r="G114" s="78"/>
    </row>
    <row r="115" spans="1:7" ht="15" customHeight="1">
      <c r="A115" s="213"/>
      <c r="B115" s="286"/>
      <c r="C115" s="286"/>
      <c r="D115" s="114"/>
      <c r="E115" s="338"/>
      <c r="F115" s="76"/>
      <c r="G115" s="78"/>
    </row>
    <row r="116" spans="1:7" ht="15" customHeight="1">
      <c r="A116" s="213"/>
      <c r="B116" s="286"/>
      <c r="C116" s="286"/>
      <c r="D116" s="114"/>
      <c r="E116" s="338"/>
      <c r="F116" s="76"/>
      <c r="G116" s="78"/>
    </row>
    <row r="117" spans="1:7" ht="15" customHeight="1">
      <c r="A117" s="213"/>
      <c r="B117" s="286"/>
      <c r="C117" s="286"/>
      <c r="D117" s="114"/>
      <c r="E117" s="338"/>
      <c r="F117" s="76"/>
      <c r="G117" s="78"/>
    </row>
    <row r="118" spans="1:7" ht="15" customHeight="1">
      <c r="A118" s="287"/>
      <c r="B118" s="286"/>
      <c r="C118" s="286"/>
      <c r="D118" s="114"/>
      <c r="E118" s="338"/>
      <c r="F118" s="76"/>
      <c r="G118" s="78"/>
    </row>
    <row r="119" spans="1:7" ht="15" customHeight="1">
      <c r="A119" s="287"/>
      <c r="B119" s="286"/>
      <c r="C119" s="286"/>
      <c r="D119" s="114"/>
      <c r="E119" s="338"/>
      <c r="F119" s="76"/>
      <c r="G119" s="78"/>
    </row>
    <row r="120" spans="1:7" ht="15" customHeight="1">
      <c r="A120" s="287"/>
      <c r="B120" s="286"/>
      <c r="C120" s="286"/>
      <c r="D120" s="114"/>
      <c r="E120" s="338"/>
      <c r="F120" s="76"/>
      <c r="G120" s="78"/>
    </row>
    <row r="121" spans="1:7" ht="15" customHeight="1">
      <c r="A121" s="287"/>
      <c r="B121" s="286"/>
      <c r="C121" s="286"/>
      <c r="D121" s="114"/>
      <c r="E121" s="338"/>
      <c r="F121" s="76"/>
      <c r="G121" s="78"/>
    </row>
    <row r="122" spans="1:7" ht="15" customHeight="1">
      <c r="A122" s="287"/>
      <c r="B122" s="286"/>
      <c r="C122" s="286"/>
      <c r="D122" s="114"/>
      <c r="E122" s="338"/>
      <c r="F122" s="76"/>
      <c r="G122" s="78"/>
    </row>
    <row r="123" spans="1:7" ht="15" customHeight="1">
      <c r="A123" s="287"/>
      <c r="B123" s="286"/>
      <c r="C123" s="286"/>
      <c r="D123" s="114"/>
      <c r="E123" s="338"/>
      <c r="F123" s="76"/>
      <c r="G123" s="78"/>
    </row>
    <row r="124" spans="1:7" ht="15" customHeight="1">
      <c r="A124" s="287"/>
      <c r="B124" s="286"/>
      <c r="C124" s="286"/>
      <c r="D124" s="114"/>
      <c r="E124" s="338"/>
      <c r="F124" s="76"/>
      <c r="G124" s="78"/>
    </row>
    <row r="125" spans="1:7" ht="15" customHeight="1">
      <c r="A125" s="287"/>
      <c r="B125" s="286"/>
      <c r="C125" s="286"/>
      <c r="D125" s="114"/>
      <c r="E125" s="338"/>
      <c r="F125" s="76"/>
      <c r="G125" s="78"/>
    </row>
    <row r="126" spans="1:7" ht="15" customHeight="1">
      <c r="A126" s="287"/>
      <c r="B126" s="286"/>
      <c r="C126" s="286"/>
      <c r="D126" s="114"/>
      <c r="E126" s="338"/>
      <c r="F126" s="76"/>
      <c r="G126" s="78"/>
    </row>
    <row r="127" spans="1:7" ht="15" customHeight="1">
      <c r="A127" s="288"/>
      <c r="B127" s="209"/>
      <c r="C127" s="209"/>
      <c r="D127" s="209"/>
      <c r="E127" s="341"/>
      <c r="F127" s="76"/>
      <c r="G127" s="78"/>
    </row>
    <row r="128" spans="1:7" ht="15" customHeight="1">
      <c r="A128" s="213"/>
      <c r="B128" s="286"/>
      <c r="C128" s="286"/>
      <c r="D128" s="114"/>
      <c r="E128" s="338"/>
      <c r="F128" s="76"/>
      <c r="G128" s="78"/>
    </row>
    <row r="129" spans="1:7" ht="15" customHeight="1">
      <c r="A129" s="213"/>
      <c r="B129" s="286"/>
      <c r="C129" s="286"/>
      <c r="D129" s="114"/>
      <c r="E129" s="338"/>
      <c r="F129" s="76"/>
      <c r="G129" s="78"/>
    </row>
    <row r="130" spans="1:7" ht="15" customHeight="1">
      <c r="A130" s="213"/>
      <c r="B130" s="286"/>
      <c r="C130" s="286"/>
      <c r="D130" s="114"/>
      <c r="E130" s="338"/>
      <c r="F130" s="76"/>
      <c r="G130" s="78"/>
    </row>
    <row r="131" spans="1:7" ht="15" customHeight="1">
      <c r="A131" s="213"/>
      <c r="B131" s="286"/>
      <c r="C131" s="286"/>
      <c r="D131" s="114"/>
      <c r="E131" s="338"/>
      <c r="F131" s="76"/>
      <c r="G131" s="78"/>
    </row>
    <row r="132" spans="1:7" ht="15" customHeight="1">
      <c r="A132" s="287"/>
      <c r="B132" s="286"/>
      <c r="C132" s="286"/>
      <c r="D132" s="114"/>
      <c r="E132" s="338"/>
      <c r="F132" s="76"/>
      <c r="G132" s="78"/>
    </row>
    <row r="133" spans="1:7" ht="15" customHeight="1">
      <c r="A133" s="287"/>
      <c r="B133" s="286"/>
      <c r="C133" s="286"/>
      <c r="D133" s="114"/>
      <c r="E133" s="338"/>
      <c r="F133" s="76"/>
      <c r="G133" s="78"/>
    </row>
    <row r="134" spans="1:7" ht="15" customHeight="1">
      <c r="A134" s="287"/>
      <c r="B134" s="286"/>
      <c r="C134" s="286"/>
      <c r="D134" s="114"/>
      <c r="E134" s="338"/>
      <c r="F134" s="76"/>
      <c r="G134" s="78"/>
    </row>
    <row r="135" spans="1:7" ht="15" customHeight="1">
      <c r="A135" s="287"/>
      <c r="B135" s="286"/>
      <c r="C135" s="286"/>
      <c r="D135" s="114"/>
      <c r="E135" s="338"/>
      <c r="F135" s="76"/>
      <c r="G135" s="78"/>
    </row>
    <row r="136" spans="1:7" ht="15" customHeight="1">
      <c r="A136" s="287"/>
      <c r="B136" s="286"/>
      <c r="C136" s="286"/>
      <c r="D136" s="114"/>
      <c r="E136" s="338"/>
      <c r="F136" s="76"/>
      <c r="G136" s="78"/>
    </row>
    <row r="137" spans="1:7" ht="15" customHeight="1">
      <c r="A137" s="288"/>
      <c r="B137" s="209"/>
      <c r="C137" s="209"/>
      <c r="D137" s="209"/>
      <c r="E137" s="341"/>
      <c r="F137" s="76"/>
      <c r="G137" s="78"/>
    </row>
    <row r="138" spans="1:7" ht="15" customHeight="1">
      <c r="A138" s="287"/>
      <c r="B138" s="286"/>
      <c r="C138" s="286"/>
      <c r="D138" s="114"/>
      <c r="E138" s="338"/>
      <c r="F138" s="76"/>
      <c r="G138" s="78"/>
    </row>
    <row r="139" spans="1:7" ht="15" customHeight="1">
      <c r="A139" s="287"/>
      <c r="B139" s="286"/>
      <c r="C139" s="286"/>
      <c r="D139" s="114"/>
      <c r="E139" s="338"/>
      <c r="F139" s="76"/>
      <c r="G139" s="78"/>
    </row>
    <row r="140" spans="1:7" ht="15" customHeight="1">
      <c r="A140" s="287"/>
      <c r="B140" s="286"/>
      <c r="C140" s="286"/>
      <c r="D140" s="114"/>
      <c r="E140" s="338"/>
      <c r="F140" s="76"/>
      <c r="G140" s="78"/>
    </row>
    <row r="141" spans="1:7" ht="15" customHeight="1">
      <c r="A141" s="287"/>
      <c r="B141" s="286"/>
      <c r="C141" s="286"/>
      <c r="D141" s="114"/>
      <c r="E141" s="338"/>
      <c r="F141" s="76"/>
      <c r="G141" s="78"/>
    </row>
    <row r="142" spans="1:7" ht="15" customHeight="1">
      <c r="A142" s="287"/>
      <c r="B142" s="286"/>
      <c r="C142" s="286"/>
      <c r="D142" s="114"/>
      <c r="E142" s="338"/>
      <c r="F142" s="76"/>
      <c r="G142" s="78"/>
    </row>
    <row r="143" spans="1:7" ht="15" customHeight="1">
      <c r="A143" s="287"/>
      <c r="B143" s="286"/>
      <c r="C143" s="286"/>
      <c r="D143" s="114"/>
      <c r="E143" s="338"/>
      <c r="F143" s="76"/>
      <c r="G143" s="78"/>
    </row>
    <row r="144" spans="1:7" ht="15" customHeight="1">
      <c r="A144" s="287"/>
      <c r="B144" s="286"/>
      <c r="C144" s="286"/>
      <c r="D144" s="114"/>
      <c r="E144" s="338"/>
      <c r="F144" s="76"/>
      <c r="G144" s="78"/>
    </row>
    <row r="145" spans="1:7" ht="15" customHeight="1">
      <c r="A145" s="289"/>
      <c r="B145" s="290"/>
      <c r="C145" s="290"/>
      <c r="D145" s="290"/>
      <c r="E145" s="340"/>
      <c r="F145" s="76"/>
      <c r="G145" s="78"/>
    </row>
    <row r="146" spans="1:7" ht="15" customHeight="1">
      <c r="A146" s="76"/>
      <c r="B146" s="114"/>
      <c r="C146" s="114"/>
      <c r="D146" s="114"/>
      <c r="E146" s="338"/>
      <c r="F146" s="76"/>
      <c r="G146" s="78"/>
    </row>
    <row r="147" spans="1:7" ht="15" customHeight="1">
      <c r="A147" s="113"/>
      <c r="B147" s="114"/>
      <c r="C147" s="114"/>
      <c r="D147" s="114"/>
      <c r="E147" s="338"/>
      <c r="F147" s="76"/>
      <c r="G147" s="78"/>
    </row>
    <row r="148" spans="1:7" ht="15" customHeight="1">
      <c r="A148" s="113"/>
      <c r="B148" s="114"/>
      <c r="C148" s="114"/>
      <c r="D148" s="112"/>
      <c r="E148" s="338"/>
      <c r="F148" s="78"/>
      <c r="G148" s="78"/>
    </row>
    <row r="149" spans="1:5" ht="15" customHeight="1">
      <c r="A149" s="113"/>
      <c r="B149" s="114"/>
      <c r="C149" s="114"/>
      <c r="D149" s="112"/>
      <c r="E149" s="338"/>
    </row>
    <row r="150" spans="1:5" ht="15" customHeight="1">
      <c r="A150" s="113"/>
      <c r="B150" s="114"/>
      <c r="C150" s="114"/>
      <c r="D150" s="114"/>
      <c r="E150" s="338"/>
    </row>
    <row r="151" spans="1:5" ht="15" customHeight="1">
      <c r="A151" s="113"/>
      <c r="B151" s="76"/>
      <c r="C151" s="76"/>
      <c r="D151" s="114"/>
      <c r="E151" s="338"/>
    </row>
    <row r="152" spans="1:5" ht="15" customHeight="1">
      <c r="A152" s="113"/>
      <c r="B152" s="76"/>
      <c r="C152" s="76"/>
      <c r="D152" s="114"/>
      <c r="E152" s="338"/>
    </row>
    <row r="153" spans="1:5" ht="15" customHeight="1">
      <c r="A153" s="113"/>
      <c r="B153" s="76"/>
      <c r="C153" s="76"/>
      <c r="D153" s="114"/>
      <c r="E153" s="338"/>
    </row>
    <row r="154" spans="1:5" ht="15" customHeight="1">
      <c r="A154" s="113"/>
      <c r="B154" s="76"/>
      <c r="C154" s="76"/>
      <c r="D154" s="114"/>
      <c r="E154" s="338"/>
    </row>
    <row r="155" spans="1:5" ht="15" customHeight="1">
      <c r="A155" s="113"/>
      <c r="B155" s="76"/>
      <c r="C155" s="76"/>
      <c r="D155" s="114"/>
      <c r="E155" s="338"/>
    </row>
    <row r="156" spans="1:5" ht="15" customHeight="1">
      <c r="A156" s="113"/>
      <c r="B156" s="76"/>
      <c r="C156" s="76"/>
      <c r="D156" s="114"/>
      <c r="E156" s="338"/>
    </row>
    <row r="157" spans="1:5" ht="15" customHeight="1">
      <c r="A157" s="113"/>
      <c r="B157" s="76"/>
      <c r="C157" s="76"/>
      <c r="D157" s="114"/>
      <c r="E157" s="338"/>
    </row>
    <row r="158" spans="1:5" ht="15" customHeight="1">
      <c r="A158" s="113"/>
      <c r="B158" s="76"/>
      <c r="C158" s="76"/>
      <c r="D158" s="114"/>
      <c r="E158" s="338"/>
    </row>
    <row r="159" spans="1:5" ht="15" customHeight="1">
      <c r="A159" s="113"/>
      <c r="B159" s="76"/>
      <c r="C159" s="76"/>
      <c r="D159" s="114"/>
      <c r="E159" s="338"/>
    </row>
    <row r="160" spans="1:5" ht="15" customHeight="1">
      <c r="A160" s="113"/>
      <c r="B160" s="76"/>
      <c r="C160" s="76"/>
      <c r="D160" s="114"/>
      <c r="E160" s="338"/>
    </row>
    <row r="161" spans="1:5" ht="15" customHeight="1">
      <c r="A161" s="113"/>
      <c r="B161" s="116"/>
      <c r="C161" s="116"/>
      <c r="D161" s="116"/>
      <c r="E161" s="338"/>
    </row>
    <row r="162" spans="1:3" ht="12.75" customHeight="1">
      <c r="A162" s="115"/>
      <c r="B162" s="77"/>
      <c r="C162" s="77"/>
    </row>
    <row r="163" spans="2:3" ht="12.75" customHeight="1">
      <c r="B163" s="79"/>
      <c r="C163" s="79"/>
    </row>
    <row r="164" ht="12.75" customHeight="1"/>
    <row r="165" ht="12.75" customHeight="1"/>
    <row r="166" spans="2:3" ht="12.75">
      <c r="B166" s="79"/>
      <c r="C166" s="79"/>
    </row>
  </sheetData>
  <mergeCells count="4">
    <mergeCell ref="A1:B1"/>
    <mergeCell ref="A3:D3"/>
    <mergeCell ref="A48:D48"/>
    <mergeCell ref="A46:D46"/>
  </mergeCells>
  <printOptions horizontalCentered="1"/>
  <pageMargins left="0.53" right="0.52" top="0.81" bottom="0.24" header="0.22" footer="0.24"/>
  <pageSetup horizontalDpi="300" verticalDpi="300" orientation="portrait" paperSize="9" scale="85" r:id="rId1"/>
  <headerFooter alignWithMargins="0">
    <oddHeader>&amp;L&amp;8 11. melléklet a ..../.....(.....)önkormányzati határozathoz</oddHeader>
  </headerFooter>
  <rowBreaks count="1" manualBreakCount="1">
    <brk id="44" max="255" man="1"/>
  </rowBreaks>
  <colBreaks count="1" manualBreakCount="1">
    <brk id="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9"/>
  <sheetViews>
    <sheetView workbookViewId="0" topLeftCell="A1">
      <pane xSplit="2" ySplit="4" topLeftCell="C50" activePane="bottomRight" state="frozen"/>
      <selection pane="topLeft" activeCell="A23" sqref="A23"/>
      <selection pane="topRight" activeCell="A23" sqref="A23"/>
      <selection pane="bottomLeft" activeCell="A23" sqref="A23"/>
      <selection pane="bottomRight" activeCell="E64" sqref="E64"/>
    </sheetView>
  </sheetViews>
  <sheetFormatPr defaultColWidth="9.00390625" defaultRowHeight="12.75"/>
  <cols>
    <col min="1" max="1" width="3.875" style="13" customWidth="1"/>
    <col min="2" max="2" width="47.125" style="13" customWidth="1"/>
    <col min="3" max="3" width="10.00390625" style="13" customWidth="1"/>
    <col min="4" max="5" width="9.75390625" style="13" customWidth="1"/>
    <col min="6" max="6" width="9.625" style="20" customWidth="1"/>
    <col min="7" max="7" width="5.375" style="85" customWidth="1"/>
    <col min="8" max="8" width="10.875" style="20" customWidth="1"/>
    <col min="9" max="10" width="10.75390625" style="13" customWidth="1"/>
    <col min="11" max="16384" width="9.125" style="13" customWidth="1"/>
  </cols>
  <sheetData>
    <row r="1" spans="1:6" ht="15">
      <c r="A1" s="574" t="s">
        <v>98</v>
      </c>
      <c r="B1" s="574"/>
      <c r="C1" s="574"/>
      <c r="D1" s="574"/>
      <c r="E1" s="574"/>
      <c r="F1" s="574"/>
    </row>
    <row r="2" ht="12.75" customHeight="1" thickBot="1">
      <c r="F2" s="81"/>
    </row>
    <row r="3" spans="1:7" ht="12" customHeight="1" thickBot="1">
      <c r="A3" s="40"/>
      <c r="B3" s="41" t="s">
        <v>62</v>
      </c>
      <c r="C3" s="43" t="s">
        <v>63</v>
      </c>
      <c r="D3" s="43" t="s">
        <v>64</v>
      </c>
      <c r="E3" s="43" t="s">
        <v>65</v>
      </c>
      <c r="F3" s="365" t="s">
        <v>66</v>
      </c>
      <c r="G3" s="366" t="s">
        <v>67</v>
      </c>
    </row>
    <row r="4" spans="1:8" s="70" customFormat="1" ht="23.25" thickBot="1">
      <c r="A4" s="71"/>
      <c r="B4" s="386" t="s">
        <v>99</v>
      </c>
      <c r="C4" s="132" t="s">
        <v>379</v>
      </c>
      <c r="D4" s="132" t="s">
        <v>380</v>
      </c>
      <c r="E4" s="132" t="s">
        <v>493</v>
      </c>
      <c r="F4" s="384" t="s">
        <v>381</v>
      </c>
      <c r="G4" s="385" t="s">
        <v>41</v>
      </c>
      <c r="H4" s="80"/>
    </row>
    <row r="5" spans="1:7" ht="12" customHeight="1">
      <c r="A5" s="44" t="s">
        <v>2</v>
      </c>
      <c r="B5" s="45" t="s">
        <v>100</v>
      </c>
      <c r="C5" s="46">
        <f>C6+C7+C8</f>
        <v>1715290</v>
      </c>
      <c r="D5" s="46">
        <f>D6+D7+D8</f>
        <v>1232158</v>
      </c>
      <c r="E5" s="46">
        <f>E6+E7+E8</f>
        <v>1232742</v>
      </c>
      <c r="F5" s="46">
        <f>F6+F7+F8</f>
        <v>746151</v>
      </c>
      <c r="G5" s="379">
        <f>F5/E5*100</f>
        <v>60.527750332186294</v>
      </c>
    </row>
    <row r="6" spans="1:7" ht="12" customHeight="1">
      <c r="A6" s="44" t="s">
        <v>3</v>
      </c>
      <c r="B6" s="47" t="s">
        <v>101</v>
      </c>
      <c r="C6" s="15">
        <v>369512</v>
      </c>
      <c r="D6" s="15">
        <v>207124</v>
      </c>
      <c r="E6" s="15">
        <v>207708</v>
      </c>
      <c r="F6" s="15">
        <f>165434-11615+698</f>
        <v>154517</v>
      </c>
      <c r="G6" s="380">
        <f aca="true" t="shared" si="0" ref="G6:G59">F6/E6*100</f>
        <v>74.39145338648487</v>
      </c>
    </row>
    <row r="7" spans="1:7" ht="12" customHeight="1">
      <c r="A7" s="44" t="s">
        <v>4</v>
      </c>
      <c r="B7" s="47" t="s">
        <v>102</v>
      </c>
      <c r="C7" s="15">
        <v>58777</v>
      </c>
      <c r="D7" s="15">
        <v>2864</v>
      </c>
      <c r="E7" s="15">
        <v>2864</v>
      </c>
      <c r="F7" s="15">
        <v>2212</v>
      </c>
      <c r="G7" s="380">
        <f t="shared" si="0"/>
        <v>77.23463687150837</v>
      </c>
    </row>
    <row r="8" spans="1:7" ht="12" customHeight="1">
      <c r="A8" s="44" t="s">
        <v>5</v>
      </c>
      <c r="B8" s="47" t="s">
        <v>103</v>
      </c>
      <c r="C8" s="15">
        <f>SUM(C9:C16)</f>
        <v>1287001</v>
      </c>
      <c r="D8" s="15">
        <f>SUM(D9:D16)</f>
        <v>1022170</v>
      </c>
      <c r="E8" s="15">
        <f>SUM(E9:E16)</f>
        <v>1022170</v>
      </c>
      <c r="F8" s="15">
        <f>SUM(F9:F16)</f>
        <v>589422</v>
      </c>
      <c r="G8" s="380">
        <f t="shared" si="0"/>
        <v>57.66379369380827</v>
      </c>
    </row>
    <row r="9" spans="1:7" ht="12" customHeight="1">
      <c r="A9" s="44" t="s">
        <v>6</v>
      </c>
      <c r="B9" s="48" t="s">
        <v>104</v>
      </c>
      <c r="C9" s="14">
        <v>854262</v>
      </c>
      <c r="D9" s="14">
        <v>900000</v>
      </c>
      <c r="E9" s="14">
        <v>900000</v>
      </c>
      <c r="F9" s="14">
        <v>514783</v>
      </c>
      <c r="G9" s="369">
        <f t="shared" si="0"/>
        <v>57.19811111111112</v>
      </c>
    </row>
    <row r="10" spans="1:7" ht="12" customHeight="1">
      <c r="A10" s="44" t="s">
        <v>7</v>
      </c>
      <c r="B10" s="48" t="s">
        <v>105</v>
      </c>
      <c r="C10" s="14">
        <v>51914</v>
      </c>
      <c r="D10" s="14">
        <v>49500</v>
      </c>
      <c r="E10" s="14">
        <v>49500</v>
      </c>
      <c r="F10" s="14">
        <v>29277</v>
      </c>
      <c r="G10" s="369">
        <f t="shared" si="0"/>
        <v>59.14545454545455</v>
      </c>
    </row>
    <row r="11" spans="1:7" ht="12" customHeight="1">
      <c r="A11" s="44" t="s">
        <v>9</v>
      </c>
      <c r="B11" s="48" t="s">
        <v>106</v>
      </c>
      <c r="C11" s="14">
        <v>2062</v>
      </c>
      <c r="D11" s="14">
        <v>2000</v>
      </c>
      <c r="E11" s="14">
        <v>2000</v>
      </c>
      <c r="F11" s="14">
        <v>175</v>
      </c>
      <c r="G11" s="369">
        <f t="shared" si="0"/>
        <v>8.75</v>
      </c>
    </row>
    <row r="12" spans="1:7" ht="12" customHeight="1">
      <c r="A12" s="44" t="s">
        <v>10</v>
      </c>
      <c r="B12" s="48" t="s">
        <v>107</v>
      </c>
      <c r="C12" s="14">
        <v>118014</v>
      </c>
      <c r="D12" s="14">
        <v>46400</v>
      </c>
      <c r="E12" s="14">
        <v>46400</v>
      </c>
      <c r="F12" s="14">
        <v>25711</v>
      </c>
      <c r="G12" s="369">
        <f t="shared" si="0"/>
        <v>55.411637931034484</v>
      </c>
    </row>
    <row r="13" spans="1:7" ht="12" customHeight="1">
      <c r="A13" s="44" t="s">
        <v>11</v>
      </c>
      <c r="B13" s="48" t="s">
        <v>108</v>
      </c>
      <c r="C13" s="14">
        <v>228094</v>
      </c>
      <c r="D13" s="14"/>
      <c r="E13" s="14"/>
      <c r="F13" s="14"/>
      <c r="G13" s="369"/>
    </row>
    <row r="14" spans="1:7" ht="12" customHeight="1">
      <c r="A14" s="44" t="s">
        <v>13</v>
      </c>
      <c r="B14" s="48" t="s">
        <v>109</v>
      </c>
      <c r="C14" s="14">
        <v>20486</v>
      </c>
      <c r="D14" s="14">
        <v>9790</v>
      </c>
      <c r="E14" s="14">
        <v>9790</v>
      </c>
      <c r="F14" s="14">
        <v>11615</v>
      </c>
      <c r="G14" s="369">
        <f t="shared" si="0"/>
        <v>118.6414708886619</v>
      </c>
    </row>
    <row r="15" spans="1:7" ht="12" customHeight="1">
      <c r="A15" s="44" t="s">
        <v>71</v>
      </c>
      <c r="B15" s="48" t="s">
        <v>110</v>
      </c>
      <c r="C15" s="14">
        <f>12081+88</f>
        <v>12169</v>
      </c>
      <c r="D15" s="14">
        <v>14480</v>
      </c>
      <c r="E15" s="14">
        <v>14480</v>
      </c>
      <c r="F15" s="14">
        <v>7861</v>
      </c>
      <c r="G15" s="369">
        <f t="shared" si="0"/>
        <v>54.28867403314918</v>
      </c>
    </row>
    <row r="16" spans="1:7" ht="9" customHeight="1">
      <c r="A16" s="127" t="s">
        <v>72</v>
      </c>
      <c r="B16" s="48"/>
      <c r="C16" s="14"/>
      <c r="D16" s="14"/>
      <c r="E16" s="14"/>
      <c r="F16" s="14"/>
      <c r="G16" s="380"/>
    </row>
    <row r="17" spans="1:7" ht="12" customHeight="1">
      <c r="A17" s="44" t="s">
        <v>73</v>
      </c>
      <c r="B17" s="47" t="s">
        <v>25</v>
      </c>
      <c r="C17" s="15">
        <f>SUM(C18:C26)</f>
        <v>2446188</v>
      </c>
      <c r="D17" s="15">
        <f>SUM(D18:D26)</f>
        <v>774719</v>
      </c>
      <c r="E17" s="15">
        <f>SUM(E18:E26)</f>
        <v>924045</v>
      </c>
      <c r="F17" s="15">
        <f>SUM(F18:F26)</f>
        <v>925503</v>
      </c>
      <c r="G17" s="380">
        <f t="shared" si="0"/>
        <v>100.15778452348101</v>
      </c>
    </row>
    <row r="18" spans="1:7" ht="12" customHeight="1">
      <c r="A18" s="44" t="s">
        <v>74</v>
      </c>
      <c r="B18" s="48" t="s">
        <v>26</v>
      </c>
      <c r="C18" s="14">
        <v>1399645</v>
      </c>
      <c r="D18" s="14">
        <v>771387</v>
      </c>
      <c r="E18" s="14">
        <v>775928</v>
      </c>
      <c r="F18" s="14">
        <f>612709-123187-87709</f>
        <v>401813</v>
      </c>
      <c r="G18" s="369">
        <f t="shared" si="0"/>
        <v>51.784830551288266</v>
      </c>
    </row>
    <row r="19" spans="1:7" ht="12" customHeight="1">
      <c r="A19" s="44" t="s">
        <v>75</v>
      </c>
      <c r="B19" s="48" t="s">
        <v>27</v>
      </c>
      <c r="C19" s="14">
        <v>148924</v>
      </c>
      <c r="D19" s="14"/>
      <c r="E19" s="14"/>
      <c r="F19" s="14"/>
      <c r="G19" s="369"/>
    </row>
    <row r="20" spans="1:7" ht="12" customHeight="1">
      <c r="A20" s="44" t="s">
        <v>76</v>
      </c>
      <c r="B20" s="48" t="s">
        <v>28</v>
      </c>
      <c r="C20" s="14"/>
      <c r="D20" s="14"/>
      <c r="E20" s="14"/>
      <c r="F20" s="14"/>
      <c r="G20" s="369"/>
    </row>
    <row r="21" spans="1:7" ht="12" customHeight="1">
      <c r="A21" s="44" t="s">
        <v>77</v>
      </c>
      <c r="B21" s="48" t="s">
        <v>111</v>
      </c>
      <c r="C21" s="14">
        <v>55000</v>
      </c>
      <c r="D21" s="14"/>
      <c r="E21" s="14">
        <v>123877</v>
      </c>
      <c r="F21" s="14">
        <v>123187</v>
      </c>
      <c r="G21" s="369">
        <f t="shared" si="0"/>
        <v>99.44299587494046</v>
      </c>
    </row>
    <row r="22" spans="1:7" ht="12" customHeight="1">
      <c r="A22" s="44" t="s">
        <v>78</v>
      </c>
      <c r="B22" s="48" t="s">
        <v>112</v>
      </c>
      <c r="C22" s="14">
        <v>252403</v>
      </c>
      <c r="D22" s="14"/>
      <c r="E22" s="49">
        <f>3332+5808+14647</f>
        <v>23787</v>
      </c>
      <c r="F22" s="49">
        <v>7474</v>
      </c>
      <c r="G22" s="369">
        <f t="shared" si="0"/>
        <v>31.42052381552949</v>
      </c>
    </row>
    <row r="23" spans="1:7" ht="12" customHeight="1">
      <c r="A23" s="44" t="s">
        <v>84</v>
      </c>
      <c r="B23" s="48" t="s">
        <v>410</v>
      </c>
      <c r="C23" s="49">
        <v>140749</v>
      </c>
      <c r="D23" s="49">
        <v>3332</v>
      </c>
      <c r="F23" s="14">
        <v>304867</v>
      </c>
      <c r="G23" s="369"/>
    </row>
    <row r="24" spans="1:7" ht="12" customHeight="1">
      <c r="A24" s="44" t="s">
        <v>85</v>
      </c>
      <c r="B24" s="48" t="s">
        <v>491</v>
      </c>
      <c r="C24" s="14"/>
      <c r="D24" s="14"/>
      <c r="E24" s="14"/>
      <c r="F24" s="14">
        <v>87709</v>
      </c>
      <c r="G24" s="369"/>
    </row>
    <row r="25" spans="1:7" ht="12" customHeight="1">
      <c r="A25" s="44" t="s">
        <v>113</v>
      </c>
      <c r="B25" s="48" t="s">
        <v>480</v>
      </c>
      <c r="C25" s="14">
        <v>102904</v>
      </c>
      <c r="D25" s="14"/>
      <c r="E25" s="14">
        <v>453</v>
      </c>
      <c r="F25" s="14">
        <v>453</v>
      </c>
      <c r="G25" s="369">
        <f t="shared" si="0"/>
        <v>100</v>
      </c>
    </row>
    <row r="26" spans="1:7" ht="12" customHeight="1">
      <c r="A26" s="44" t="s">
        <v>114</v>
      </c>
      <c r="B26" s="48" t="s">
        <v>30</v>
      </c>
      <c r="C26" s="14">
        <v>346563</v>
      </c>
      <c r="D26" s="14"/>
      <c r="E26" s="14"/>
      <c r="F26" s="14"/>
      <c r="G26" s="380"/>
    </row>
    <row r="27" spans="1:7" ht="12" customHeight="1">
      <c r="A27" s="44" t="s">
        <v>115</v>
      </c>
      <c r="B27" s="47" t="s">
        <v>116</v>
      </c>
      <c r="C27" s="15">
        <f>SUM(C28:C31)</f>
        <v>300203</v>
      </c>
      <c r="D27" s="15">
        <f>SUM(D28:D31)</f>
        <v>95860</v>
      </c>
      <c r="E27" s="15">
        <f>SUM(E28:E31)</f>
        <v>95860</v>
      </c>
      <c r="F27" s="15">
        <f>SUM(F28:F31)</f>
        <v>40867</v>
      </c>
      <c r="G27" s="380">
        <f t="shared" si="0"/>
        <v>42.63196327978302</v>
      </c>
    </row>
    <row r="28" spans="1:7" ht="12" customHeight="1">
      <c r="A28" s="44" t="s">
        <v>117</v>
      </c>
      <c r="B28" s="48" t="s">
        <v>118</v>
      </c>
      <c r="C28" s="14">
        <f>5574+54727</f>
        <v>60301</v>
      </c>
      <c r="D28" s="14">
        <v>19000</v>
      </c>
      <c r="E28" s="14">
        <v>19000</v>
      </c>
      <c r="F28" s="14">
        <v>5923</v>
      </c>
      <c r="G28" s="369">
        <f t="shared" si="0"/>
        <v>31.173684210526314</v>
      </c>
    </row>
    <row r="29" spans="1:7" ht="12" customHeight="1">
      <c r="A29" s="44" t="s">
        <v>119</v>
      </c>
      <c r="B29" s="48" t="s">
        <v>120</v>
      </c>
      <c r="C29" s="14">
        <v>5793</v>
      </c>
      <c r="D29" s="14">
        <v>6860</v>
      </c>
      <c r="E29" s="14">
        <v>6860</v>
      </c>
      <c r="F29" s="14">
        <v>2419</v>
      </c>
      <c r="G29" s="369">
        <f t="shared" si="0"/>
        <v>35.262390670553934</v>
      </c>
    </row>
    <row r="30" spans="1:7" ht="12" customHeight="1">
      <c r="A30" s="44" t="s">
        <v>121</v>
      </c>
      <c r="B30" s="48" t="s">
        <v>31</v>
      </c>
      <c r="C30" s="14"/>
      <c r="D30" s="14"/>
      <c r="E30" s="14"/>
      <c r="F30" s="14"/>
      <c r="G30" s="369"/>
    </row>
    <row r="31" spans="1:7" ht="12" customHeight="1">
      <c r="A31" s="44" t="s">
        <v>122</v>
      </c>
      <c r="B31" s="48" t="s">
        <v>123</v>
      </c>
      <c r="C31" s="14">
        <v>234109</v>
      </c>
      <c r="D31" s="14">
        <v>70000</v>
      </c>
      <c r="E31" s="14">
        <v>70000</v>
      </c>
      <c r="F31" s="14">
        <v>32525</v>
      </c>
      <c r="G31" s="369">
        <f t="shared" si="0"/>
        <v>46.464285714285715</v>
      </c>
    </row>
    <row r="32" spans="1:8" s="16" customFormat="1" ht="12" customHeight="1">
      <c r="A32" s="44" t="s">
        <v>124</v>
      </c>
      <c r="B32" s="47" t="s">
        <v>32</v>
      </c>
      <c r="C32" s="15">
        <f>C33+C35</f>
        <v>1927879</v>
      </c>
      <c r="D32" s="15">
        <f>D33+D35</f>
        <v>968784</v>
      </c>
      <c r="E32" s="15">
        <f>E33+E35</f>
        <v>780257</v>
      </c>
      <c r="F32" s="15">
        <f>F33+F35</f>
        <v>284720</v>
      </c>
      <c r="G32" s="380">
        <f t="shared" si="0"/>
        <v>36.49054093715276</v>
      </c>
      <c r="H32" s="18"/>
    </row>
    <row r="33" spans="1:7" ht="12" customHeight="1">
      <c r="A33" s="44" t="s">
        <v>125</v>
      </c>
      <c r="B33" s="48" t="s">
        <v>33</v>
      </c>
      <c r="C33" s="14">
        <f>1720942+13279</f>
        <v>1734221</v>
      </c>
      <c r="D33" s="14">
        <v>965284</v>
      </c>
      <c r="E33" s="14">
        <v>764384</v>
      </c>
      <c r="F33" s="14">
        <v>278052</v>
      </c>
      <c r="G33" s="369">
        <f t="shared" si="0"/>
        <v>36.37595763385942</v>
      </c>
    </row>
    <row r="34" spans="1:7" ht="12" customHeight="1">
      <c r="A34" s="44" t="s">
        <v>126</v>
      </c>
      <c r="B34" s="47" t="s">
        <v>323</v>
      </c>
      <c r="C34" s="14">
        <v>1316762</v>
      </c>
      <c r="D34" s="14">
        <v>124500</v>
      </c>
      <c r="E34" s="14">
        <v>124500</v>
      </c>
      <c r="F34" s="14">
        <v>67376</v>
      </c>
      <c r="G34" s="369">
        <f t="shared" si="0"/>
        <v>54.11726907630522</v>
      </c>
    </row>
    <row r="35" spans="1:7" ht="12" customHeight="1">
      <c r="A35" s="44" t="s">
        <v>127</v>
      </c>
      <c r="B35" s="47" t="s">
        <v>250</v>
      </c>
      <c r="C35" s="14">
        <v>193658</v>
      </c>
      <c r="D35" s="14">
        <v>3500</v>
      </c>
      <c r="E35" s="14">
        <v>15873</v>
      </c>
      <c r="F35" s="14">
        <v>6668</v>
      </c>
      <c r="G35" s="369">
        <f t="shared" si="0"/>
        <v>42.00844200844201</v>
      </c>
    </row>
    <row r="36" spans="1:7" ht="12" customHeight="1">
      <c r="A36" s="44" t="s">
        <v>128</v>
      </c>
      <c r="B36" s="47" t="s">
        <v>323</v>
      </c>
      <c r="C36" s="14">
        <v>100000</v>
      </c>
      <c r="D36" s="14"/>
      <c r="E36" s="14"/>
      <c r="F36" s="14"/>
      <c r="G36" s="369"/>
    </row>
    <row r="37" spans="1:7" ht="12" customHeight="1">
      <c r="A37" s="44" t="s">
        <v>129</v>
      </c>
      <c r="B37" s="47" t="s">
        <v>34</v>
      </c>
      <c r="C37" s="15">
        <f>C38+C39</f>
        <v>504909</v>
      </c>
      <c r="D37" s="15">
        <f>D38+D39</f>
        <v>1612936</v>
      </c>
      <c r="E37" s="15">
        <f>E38+E39</f>
        <v>1621436</v>
      </c>
      <c r="F37" s="15">
        <f>F38+F39</f>
        <v>496038</v>
      </c>
      <c r="G37" s="380">
        <f t="shared" si="0"/>
        <v>30.592511822853325</v>
      </c>
    </row>
    <row r="38" spans="1:7" ht="12" customHeight="1">
      <c r="A38" s="44" t="s">
        <v>130</v>
      </c>
      <c r="B38" s="48" t="s">
        <v>131</v>
      </c>
      <c r="C38" s="14">
        <v>51235</v>
      </c>
      <c r="D38" s="14"/>
      <c r="E38" s="14">
        <v>8500</v>
      </c>
      <c r="F38" s="14">
        <v>31100</v>
      </c>
      <c r="G38" s="369">
        <f t="shared" si="0"/>
        <v>365.88235294117646</v>
      </c>
    </row>
    <row r="39" spans="1:7" ht="12" customHeight="1">
      <c r="A39" s="44" t="s">
        <v>132</v>
      </c>
      <c r="B39" s="48" t="s">
        <v>133</v>
      </c>
      <c r="C39" s="14">
        <v>453674</v>
      </c>
      <c r="D39" s="14">
        <v>1612936</v>
      </c>
      <c r="E39" s="14">
        <v>1612936</v>
      </c>
      <c r="F39" s="14">
        <v>464938</v>
      </c>
      <c r="G39" s="369">
        <f t="shared" si="0"/>
        <v>28.825570264412224</v>
      </c>
    </row>
    <row r="40" spans="1:7" ht="12" customHeight="1">
      <c r="A40" s="44" t="s">
        <v>134</v>
      </c>
      <c r="B40" s="47" t="s">
        <v>35</v>
      </c>
      <c r="C40" s="15">
        <v>26682</v>
      </c>
      <c r="D40" s="15">
        <v>6500</v>
      </c>
      <c r="E40" s="15">
        <v>6500</v>
      </c>
      <c r="F40" s="15">
        <v>2773</v>
      </c>
      <c r="G40" s="380">
        <f t="shared" si="0"/>
        <v>42.66153846153846</v>
      </c>
    </row>
    <row r="41" spans="1:7" ht="12" customHeight="1" thickBot="1">
      <c r="A41" s="127" t="s">
        <v>135</v>
      </c>
      <c r="B41" s="50"/>
      <c r="C41" s="130"/>
      <c r="D41" s="130"/>
      <c r="E41" s="130"/>
      <c r="F41" s="130"/>
      <c r="G41" s="387"/>
    </row>
    <row r="42" spans="1:7" ht="18.75" customHeight="1" thickBot="1">
      <c r="A42" s="44" t="s">
        <v>136</v>
      </c>
      <c r="B42" s="370" t="s">
        <v>137</v>
      </c>
      <c r="C42" s="371">
        <f>SUM(C5+C17+C27+C32+C37+C40)</f>
        <v>6921151</v>
      </c>
      <c r="D42" s="371">
        <f>SUM(D5+D17+D27+D32+D37+D40)</f>
        <v>4690957</v>
      </c>
      <c r="E42" s="371">
        <f>SUM(E5+E17+E27+E32+E37+E40)</f>
        <v>4660840</v>
      </c>
      <c r="F42" s="371">
        <f>SUM(F5+F17+F27+F32+F37+F40)</f>
        <v>2496052</v>
      </c>
      <c r="G42" s="381">
        <f>F42/E42*100</f>
        <v>53.55369418388102</v>
      </c>
    </row>
    <row r="43" spans="1:7" ht="12" customHeight="1">
      <c r="A43" s="44" t="s">
        <v>138</v>
      </c>
      <c r="B43" s="45" t="s">
        <v>139</v>
      </c>
      <c r="C43" s="46">
        <f>SUM(C44:C45)</f>
        <v>1269575</v>
      </c>
      <c r="D43" s="46">
        <f>SUM(D44:D45)</f>
        <v>1200000</v>
      </c>
      <c r="E43" s="46">
        <f>SUM(E44:E45)</f>
        <v>1740450</v>
      </c>
      <c r="F43" s="46">
        <f>SUM(F44:F45)</f>
        <v>81964</v>
      </c>
      <c r="G43" s="379">
        <f t="shared" si="0"/>
        <v>4.709356775546554</v>
      </c>
    </row>
    <row r="44" spans="1:7" ht="12" customHeight="1">
      <c r="A44" s="44" t="s">
        <v>140</v>
      </c>
      <c r="B44" s="48" t="s">
        <v>141</v>
      </c>
      <c r="C44" s="14">
        <f>1055399+1164</f>
        <v>1056563</v>
      </c>
      <c r="D44" s="14">
        <v>200000</v>
      </c>
      <c r="E44" s="14">
        <v>412535</v>
      </c>
      <c r="F44" s="14"/>
      <c r="G44" s="380"/>
    </row>
    <row r="45" spans="1:7" ht="12" customHeight="1">
      <c r="A45" s="44" t="s">
        <v>142</v>
      </c>
      <c r="B45" s="48" t="s">
        <v>143</v>
      </c>
      <c r="C45" s="14">
        <v>213012</v>
      </c>
      <c r="D45" s="14">
        <v>1000000</v>
      </c>
      <c r="E45" s="14">
        <v>1327915</v>
      </c>
      <c r="F45" s="14">
        <v>81964</v>
      </c>
      <c r="G45" s="369">
        <f t="shared" si="0"/>
        <v>6.172383021503636</v>
      </c>
    </row>
    <row r="46" spans="1:7" ht="12" customHeight="1">
      <c r="A46" s="44" t="s">
        <v>144</v>
      </c>
      <c r="B46" s="48" t="s">
        <v>145</v>
      </c>
      <c r="C46" s="14"/>
      <c r="D46" s="14"/>
      <c r="E46" s="14"/>
      <c r="F46" s="14"/>
      <c r="G46" s="380"/>
    </row>
    <row r="47" spans="1:7" ht="10.5" customHeight="1">
      <c r="A47" s="127" t="s">
        <v>146</v>
      </c>
      <c r="B47" s="48"/>
      <c r="C47" s="14"/>
      <c r="D47" s="14"/>
      <c r="E47" s="14"/>
      <c r="F47" s="14"/>
      <c r="G47" s="380"/>
    </row>
    <row r="48" spans="1:7" ht="12" customHeight="1">
      <c r="A48" s="44" t="s">
        <v>147</v>
      </c>
      <c r="B48" s="47" t="s">
        <v>148</v>
      </c>
      <c r="C48" s="15"/>
      <c r="D48" s="15">
        <f>SUM(D49:D50)</f>
        <v>0</v>
      </c>
      <c r="E48" s="15">
        <f>SUM(E49:E50)</f>
        <v>0</v>
      </c>
      <c r="F48" s="15">
        <f>SUM(F49:F50)</f>
        <v>0</v>
      </c>
      <c r="G48" s="380"/>
    </row>
    <row r="49" spans="1:7" ht="12" customHeight="1">
      <c r="A49" s="44" t="s">
        <v>149</v>
      </c>
      <c r="B49" s="48" t="s">
        <v>150</v>
      </c>
      <c r="C49" s="14"/>
      <c r="D49" s="14"/>
      <c r="E49" s="14"/>
      <c r="F49" s="14"/>
      <c r="G49" s="380"/>
    </row>
    <row r="50" spans="1:7" ht="12" customHeight="1">
      <c r="A50" s="44" t="s">
        <v>151</v>
      </c>
      <c r="B50" s="48" t="s">
        <v>152</v>
      </c>
      <c r="C50" s="14"/>
      <c r="D50" s="14"/>
      <c r="E50" s="14"/>
      <c r="F50" s="14"/>
      <c r="G50" s="380"/>
    </row>
    <row r="51" spans="1:7" ht="12" customHeight="1">
      <c r="A51" s="44" t="s">
        <v>153</v>
      </c>
      <c r="B51" s="47" t="s">
        <v>154</v>
      </c>
      <c r="C51" s="15"/>
      <c r="D51" s="15"/>
      <c r="E51" s="15"/>
      <c r="F51" s="15"/>
      <c r="G51" s="380"/>
    </row>
    <row r="52" spans="1:7" ht="12" customHeight="1">
      <c r="A52" s="44" t="s">
        <v>155</v>
      </c>
      <c r="B52" s="47" t="s">
        <v>156</v>
      </c>
      <c r="C52" s="15">
        <f>SUM(C53:C55)</f>
        <v>149725</v>
      </c>
      <c r="D52" s="15">
        <f>SUM(D53:D55)</f>
        <v>0</v>
      </c>
      <c r="E52" s="15">
        <f>SUM(E53:E55)</f>
        <v>0</v>
      </c>
      <c r="F52" s="15">
        <f>SUM(F53:F55)</f>
        <v>1091265</v>
      </c>
      <c r="G52" s="380"/>
    </row>
    <row r="53" spans="1:7" ht="12" customHeight="1">
      <c r="A53" s="44" t="s">
        <v>157</v>
      </c>
      <c r="B53" s="48" t="s">
        <v>485</v>
      </c>
      <c r="C53" s="14"/>
      <c r="D53" s="14"/>
      <c r="E53" s="14"/>
      <c r="F53" s="14">
        <v>251265</v>
      </c>
      <c r="G53" s="380"/>
    </row>
    <row r="54" spans="1:7" ht="12" customHeight="1">
      <c r="A54" s="44" t="s">
        <v>158</v>
      </c>
      <c r="B54" s="48" t="s">
        <v>159</v>
      </c>
      <c r="C54" s="14">
        <v>149725</v>
      </c>
      <c r="D54" s="14"/>
      <c r="E54" s="14"/>
      <c r="F54" s="14">
        <v>840000</v>
      </c>
      <c r="G54" s="369"/>
    </row>
    <row r="55" spans="1:7" ht="12" customHeight="1">
      <c r="A55" s="44" t="s">
        <v>160</v>
      </c>
      <c r="B55" s="48" t="s">
        <v>161</v>
      </c>
      <c r="C55" s="14"/>
      <c r="D55" s="14"/>
      <c r="E55" s="14"/>
      <c r="F55" s="14"/>
      <c r="G55" s="380"/>
    </row>
    <row r="56" spans="1:7" ht="12" customHeight="1">
      <c r="A56" s="44" t="s">
        <v>162</v>
      </c>
      <c r="B56" s="47" t="s">
        <v>163</v>
      </c>
      <c r="C56" s="15">
        <v>-196108</v>
      </c>
      <c r="D56" s="15"/>
      <c r="E56" s="15"/>
      <c r="F56" s="15">
        <v>-6080</v>
      </c>
      <c r="G56" s="380"/>
    </row>
    <row r="57" spans="1:7" ht="11.25" customHeight="1">
      <c r="A57" s="127" t="s">
        <v>164</v>
      </c>
      <c r="B57" s="47"/>
      <c r="C57" s="14"/>
      <c r="D57" s="14"/>
      <c r="E57" s="14"/>
      <c r="F57" s="14"/>
      <c r="G57" s="380"/>
    </row>
    <row r="58" spans="1:11" ht="18.75" customHeight="1" thickBot="1">
      <c r="A58" s="44" t="s">
        <v>165</v>
      </c>
      <c r="B58" s="388" t="s">
        <v>166</v>
      </c>
      <c r="C58" s="389">
        <f>SUM(C48+C51+C52+C56)</f>
        <v>-46383</v>
      </c>
      <c r="D58" s="389">
        <f>SUM(D48+D51+D52+D56)</f>
        <v>0</v>
      </c>
      <c r="E58" s="389">
        <f>SUM(E48+E51+E52+E56)</f>
        <v>0</v>
      </c>
      <c r="F58" s="389">
        <f>SUM(F48+F51+F52+F56)</f>
        <v>1085185</v>
      </c>
      <c r="G58" s="387"/>
      <c r="K58" s="464"/>
    </row>
    <row r="59" spans="1:7" ht="18.75" customHeight="1" thickBot="1">
      <c r="A59" s="51" t="s">
        <v>167</v>
      </c>
      <c r="B59" s="74" t="s">
        <v>168</v>
      </c>
      <c r="C59" s="57">
        <f>SUM(C42+C43+C58)</f>
        <v>8144343</v>
      </c>
      <c r="D59" s="57">
        <f>SUM(D42+D43+D58)</f>
        <v>5890957</v>
      </c>
      <c r="E59" s="57">
        <f>SUM(E42+E43+E58)</f>
        <v>6401290</v>
      </c>
      <c r="F59" s="57">
        <f>SUM(F42+F43+F58)</f>
        <v>3663201</v>
      </c>
      <c r="G59" s="382">
        <f t="shared" si="0"/>
        <v>57.22598101320203</v>
      </c>
    </row>
    <row r="60" spans="1:6" ht="12.75">
      <c r="A60" s="52"/>
      <c r="C60" s="53"/>
      <c r="D60" s="53"/>
      <c r="E60" s="53"/>
      <c r="F60" s="53"/>
    </row>
    <row r="61" spans="1:6" ht="15">
      <c r="A61" s="574" t="s">
        <v>169</v>
      </c>
      <c r="B61" s="574"/>
      <c r="C61" s="574"/>
      <c r="D61" s="574"/>
      <c r="E61" s="574"/>
      <c r="F61" s="574"/>
    </row>
    <row r="62" spans="1:6" ht="13.5" thickBot="1">
      <c r="A62" s="52"/>
      <c r="B62" s="42"/>
      <c r="C62" s="54"/>
      <c r="D62" s="54"/>
      <c r="E62" s="54"/>
      <c r="F62" s="82"/>
    </row>
    <row r="63" spans="1:7" ht="13.5" thickBot="1">
      <c r="A63" s="40"/>
      <c r="B63" s="41" t="s">
        <v>62</v>
      </c>
      <c r="C63" s="43" t="s">
        <v>63</v>
      </c>
      <c r="D63" s="43" t="s">
        <v>64</v>
      </c>
      <c r="E63" s="43" t="s">
        <v>65</v>
      </c>
      <c r="F63" s="365" t="s">
        <v>66</v>
      </c>
      <c r="G63" s="366" t="s">
        <v>67</v>
      </c>
    </row>
    <row r="64" spans="1:7" ht="35.25" customHeight="1" thickBot="1">
      <c r="A64" s="363"/>
      <c r="B64" s="383" t="s">
        <v>170</v>
      </c>
      <c r="C64" s="132" t="s">
        <v>382</v>
      </c>
      <c r="D64" s="132" t="s">
        <v>380</v>
      </c>
      <c r="E64" s="132" t="s">
        <v>493</v>
      </c>
      <c r="F64" s="384" t="s">
        <v>381</v>
      </c>
      <c r="G64" s="385" t="s">
        <v>41</v>
      </c>
    </row>
    <row r="65" spans="1:7" ht="12.75">
      <c r="A65" s="131" t="s">
        <v>171</v>
      </c>
      <c r="B65" s="45" t="s">
        <v>20</v>
      </c>
      <c r="C65" s="46">
        <f>SUM(C66:C70)</f>
        <v>6359917</v>
      </c>
      <c r="D65" s="46">
        <f>SUM(D66:D69)</f>
        <v>3012428</v>
      </c>
      <c r="E65" s="46">
        <f>SUM(E66:E69)</f>
        <v>3054837</v>
      </c>
      <c r="F65" s="46">
        <f>SUM(F66:F69)</f>
        <v>1464358</v>
      </c>
      <c r="G65" s="379">
        <f aca="true" t="shared" si="1" ref="G65:G109">F65/E65*100</f>
        <v>47.93571637373778</v>
      </c>
    </row>
    <row r="66" spans="1:7" ht="12.75">
      <c r="A66" s="44" t="s">
        <v>172</v>
      </c>
      <c r="B66" s="48" t="s">
        <v>21</v>
      </c>
      <c r="C66" s="14">
        <f>2461382+91226</f>
        <v>2552608</v>
      </c>
      <c r="D66" s="14">
        <v>687606</v>
      </c>
      <c r="E66" s="14">
        <v>705633</v>
      </c>
      <c r="F66" s="14">
        <v>369572</v>
      </c>
      <c r="G66" s="369">
        <f t="shared" si="1"/>
        <v>52.374534637694104</v>
      </c>
    </row>
    <row r="67" spans="1:7" ht="12.75">
      <c r="A67" s="44" t="s">
        <v>173</v>
      </c>
      <c r="B67" s="48" t="s">
        <v>22</v>
      </c>
      <c r="C67" s="14">
        <v>2290774</v>
      </c>
      <c r="D67" s="14">
        <v>130000</v>
      </c>
      <c r="E67" s="14">
        <v>157363</v>
      </c>
      <c r="F67" s="14">
        <v>69070</v>
      </c>
      <c r="G67" s="369">
        <f t="shared" si="1"/>
        <v>43.892147455246786</v>
      </c>
    </row>
    <row r="68" spans="1:7" ht="12.75">
      <c r="A68" s="44" t="s">
        <v>174</v>
      </c>
      <c r="B68" s="48" t="s">
        <v>325</v>
      </c>
      <c r="C68" s="14">
        <v>627115</v>
      </c>
      <c r="D68" s="14">
        <v>1434287</v>
      </c>
      <c r="E68" s="14">
        <v>1402906</v>
      </c>
      <c r="F68" s="14">
        <f>733489-41493</f>
        <v>691996</v>
      </c>
      <c r="G68" s="369">
        <f t="shared" si="1"/>
        <v>49.32589924057635</v>
      </c>
    </row>
    <row r="69" spans="1:7" ht="12.75">
      <c r="A69" s="44" t="s">
        <v>175</v>
      </c>
      <c r="B69" s="48" t="s">
        <v>23</v>
      </c>
      <c r="C69" s="14">
        <v>889420</v>
      </c>
      <c r="D69" s="14">
        <v>760535</v>
      </c>
      <c r="E69" s="14">
        <v>788935</v>
      </c>
      <c r="F69" s="364">
        <v>333720</v>
      </c>
      <c r="G69" s="369">
        <f t="shared" si="1"/>
        <v>42.30006274281151</v>
      </c>
    </row>
    <row r="70" spans="1:7" ht="11.25" customHeight="1">
      <c r="A70" s="44" t="s">
        <v>176</v>
      </c>
      <c r="B70" s="48" t="s">
        <v>24</v>
      </c>
      <c r="C70" s="364"/>
      <c r="D70" s="14"/>
      <c r="E70" s="14"/>
      <c r="F70" s="14"/>
      <c r="G70" s="369"/>
    </row>
    <row r="71" spans="1:8" ht="12.75">
      <c r="A71" s="44" t="s">
        <v>177</v>
      </c>
      <c r="B71" s="48" t="s">
        <v>179</v>
      </c>
      <c r="C71" s="14">
        <v>2790547</v>
      </c>
      <c r="D71" s="14">
        <v>1062859</v>
      </c>
      <c r="E71" s="14">
        <v>1072450</v>
      </c>
      <c r="F71" s="14">
        <v>473503</v>
      </c>
      <c r="G71" s="369">
        <f t="shared" si="1"/>
        <v>44.1515222154879</v>
      </c>
      <c r="H71" s="19"/>
    </row>
    <row r="72" spans="1:8" ht="12.75">
      <c r="A72" s="44" t="s">
        <v>178</v>
      </c>
      <c r="B72" s="48" t="s">
        <v>181</v>
      </c>
      <c r="C72" s="14">
        <v>722304</v>
      </c>
      <c r="D72" s="14">
        <v>252255</v>
      </c>
      <c r="E72" s="14">
        <v>254325</v>
      </c>
      <c r="F72" s="14">
        <v>108128</v>
      </c>
      <c r="G72" s="369">
        <f t="shared" si="1"/>
        <v>42.51567875749533</v>
      </c>
      <c r="H72" s="19"/>
    </row>
    <row r="73" spans="1:8" ht="12.75">
      <c r="A73" s="44" t="s">
        <v>180</v>
      </c>
      <c r="B73" s="48" t="s">
        <v>183</v>
      </c>
      <c r="C73" s="14">
        <v>91226</v>
      </c>
      <c r="D73" s="14">
        <v>700</v>
      </c>
      <c r="E73" s="14">
        <v>700</v>
      </c>
      <c r="F73" s="14">
        <v>520</v>
      </c>
      <c r="G73" s="369">
        <f t="shared" si="1"/>
        <v>74.28571428571429</v>
      </c>
      <c r="H73" s="19"/>
    </row>
    <row r="74" spans="1:8" ht="12.75">
      <c r="A74" s="44" t="s">
        <v>182</v>
      </c>
      <c r="B74" s="48" t="s">
        <v>185</v>
      </c>
      <c r="C74" s="14">
        <v>1629675</v>
      </c>
      <c r="D74" s="14">
        <v>997463</v>
      </c>
      <c r="E74" s="14">
        <v>1002394</v>
      </c>
      <c r="F74" s="14">
        <v>594554</v>
      </c>
      <c r="G74" s="369">
        <f t="shared" si="1"/>
        <v>59.31340371151463</v>
      </c>
      <c r="H74" s="19"/>
    </row>
    <row r="75" spans="1:8" ht="12.75">
      <c r="A75" s="44" t="s">
        <v>184</v>
      </c>
      <c r="B75" s="48" t="s">
        <v>187</v>
      </c>
      <c r="C75" s="14"/>
      <c r="D75" s="14"/>
      <c r="E75" s="14"/>
      <c r="F75" s="14"/>
      <c r="G75" s="369"/>
      <c r="H75" s="19"/>
    </row>
    <row r="76" spans="1:8" ht="12.75">
      <c r="A76" s="44" t="s">
        <v>186</v>
      </c>
      <c r="B76" s="48" t="s">
        <v>189</v>
      </c>
      <c r="C76" s="14">
        <v>43930</v>
      </c>
      <c r="D76" s="14">
        <v>30000</v>
      </c>
      <c r="E76" s="14">
        <v>30000</v>
      </c>
      <c r="F76" s="14">
        <v>12857</v>
      </c>
      <c r="G76" s="369">
        <f t="shared" si="1"/>
        <v>42.85666666666666</v>
      </c>
      <c r="H76" s="19"/>
    </row>
    <row r="77" spans="1:8" ht="12.75">
      <c r="A77" s="44" t="s">
        <v>188</v>
      </c>
      <c r="B77" s="48" t="s">
        <v>191</v>
      </c>
      <c r="C77" s="14">
        <f>100978-38636</f>
        <v>62342</v>
      </c>
      <c r="D77" s="14">
        <v>307111</v>
      </c>
      <c r="E77" s="14">
        <v>332238</v>
      </c>
      <c r="F77" s="14">
        <v>131845</v>
      </c>
      <c r="G77" s="369">
        <f t="shared" si="1"/>
        <v>39.683901299670715</v>
      </c>
      <c r="H77" s="19"/>
    </row>
    <row r="78" spans="1:8" ht="12.75">
      <c r="A78" s="44" t="s">
        <v>190</v>
      </c>
      <c r="B78" s="55" t="s">
        <v>193</v>
      </c>
      <c r="C78" s="14">
        <v>356050</v>
      </c>
      <c r="D78" s="14">
        <v>362040</v>
      </c>
      <c r="E78" s="14">
        <v>362730</v>
      </c>
      <c r="F78" s="14">
        <v>142951</v>
      </c>
      <c r="G78" s="369">
        <f t="shared" si="1"/>
        <v>39.409753811374856</v>
      </c>
      <c r="H78" s="19"/>
    </row>
    <row r="79" spans="1:8" ht="12.75">
      <c r="A79" s="44" t="s">
        <v>192</v>
      </c>
      <c r="B79" s="55" t="s">
        <v>195</v>
      </c>
      <c r="C79" s="14">
        <v>20000</v>
      </c>
      <c r="D79" s="14"/>
      <c r="E79" s="14"/>
      <c r="F79" s="14"/>
      <c r="G79" s="369"/>
      <c r="H79" s="19"/>
    </row>
    <row r="80" spans="1:8" ht="12.75">
      <c r="A80" s="44" t="s">
        <v>194</v>
      </c>
      <c r="B80" s="55" t="s">
        <v>197</v>
      </c>
      <c r="C80" s="14">
        <v>643843</v>
      </c>
      <c r="D80" s="14"/>
      <c r="E80" s="14"/>
      <c r="F80" s="14"/>
      <c r="G80" s="380"/>
      <c r="H80" s="19"/>
    </row>
    <row r="81" spans="1:7" ht="12.75">
      <c r="A81" s="44" t="s">
        <v>196</v>
      </c>
      <c r="B81" s="55" t="s">
        <v>199</v>
      </c>
      <c r="C81" s="14"/>
      <c r="D81" s="14"/>
      <c r="E81" s="14"/>
      <c r="F81" s="14"/>
      <c r="G81" s="380"/>
    </row>
    <row r="82" spans="1:7" ht="12" customHeight="1">
      <c r="A82" s="44" t="s">
        <v>198</v>
      </c>
      <c r="B82" s="55"/>
      <c r="C82" s="14"/>
      <c r="D82" s="14"/>
      <c r="E82" s="14"/>
      <c r="F82" s="14"/>
      <c r="G82" s="380"/>
    </row>
    <row r="83" spans="1:7" ht="12.75">
      <c r="A83" s="44" t="s">
        <v>200</v>
      </c>
      <c r="B83" s="47" t="s">
        <v>29</v>
      </c>
      <c r="C83" s="15">
        <f>SUM(C84:C90)</f>
        <v>1159488</v>
      </c>
      <c r="D83" s="15">
        <f>SUM(D84:D90)</f>
        <v>2008186</v>
      </c>
      <c r="E83" s="15">
        <f>SUM(E84:E90)</f>
        <v>2027667</v>
      </c>
      <c r="F83" s="15">
        <f>SUM(F84:F90)</f>
        <v>571843</v>
      </c>
      <c r="G83" s="380">
        <f t="shared" si="1"/>
        <v>28.202017392402208</v>
      </c>
    </row>
    <row r="84" spans="1:7" ht="12.75">
      <c r="A84" s="44" t="s">
        <v>201</v>
      </c>
      <c r="B84" s="48" t="s">
        <v>203</v>
      </c>
      <c r="C84" s="14">
        <v>723187</v>
      </c>
      <c r="D84" s="14">
        <v>1538839</v>
      </c>
      <c r="E84" s="14">
        <v>1553462</v>
      </c>
      <c r="F84" s="14">
        <v>158583</v>
      </c>
      <c r="G84" s="369">
        <f t="shared" si="1"/>
        <v>10.208360423364073</v>
      </c>
    </row>
    <row r="85" spans="1:7" ht="12.75">
      <c r="A85" s="44" t="s">
        <v>202</v>
      </c>
      <c r="B85" s="48" t="s">
        <v>205</v>
      </c>
      <c r="C85" s="14">
        <v>269922</v>
      </c>
      <c r="D85" s="14">
        <v>212144</v>
      </c>
      <c r="E85" s="14">
        <v>216502</v>
      </c>
      <c r="F85" s="14">
        <v>272826</v>
      </c>
      <c r="G85" s="369">
        <f t="shared" si="1"/>
        <v>126.0154640603782</v>
      </c>
    </row>
    <row r="86" spans="1:7" ht="12.75">
      <c r="A86" s="44" t="s">
        <v>204</v>
      </c>
      <c r="B86" s="55" t="s">
        <v>207</v>
      </c>
      <c r="C86" s="14">
        <v>95583</v>
      </c>
      <c r="D86" s="14">
        <v>70000</v>
      </c>
      <c r="E86" s="14">
        <v>70000</v>
      </c>
      <c r="F86" s="14">
        <v>41493</v>
      </c>
      <c r="G86" s="369">
        <f t="shared" si="1"/>
        <v>59.27571428571429</v>
      </c>
    </row>
    <row r="87" spans="1:7" ht="12.75">
      <c r="A87" s="44" t="s">
        <v>206</v>
      </c>
      <c r="B87" s="48" t="s">
        <v>209</v>
      </c>
      <c r="C87" s="14">
        <v>9960</v>
      </c>
      <c r="D87" s="14"/>
      <c r="E87" s="14"/>
      <c r="F87" s="14">
        <v>6740</v>
      </c>
      <c r="G87" s="369"/>
    </row>
    <row r="88" spans="1:7" ht="12.75">
      <c r="A88" s="44" t="s">
        <v>208</v>
      </c>
      <c r="B88" s="55" t="s">
        <v>211</v>
      </c>
      <c r="C88" s="14">
        <v>2100</v>
      </c>
      <c r="D88" s="14">
        <v>187203</v>
      </c>
      <c r="E88" s="14">
        <v>187203</v>
      </c>
      <c r="F88" s="14">
        <v>91701</v>
      </c>
      <c r="G88" s="369">
        <f t="shared" si="1"/>
        <v>48.98479191038605</v>
      </c>
    </row>
    <row r="89" spans="1:7" ht="12.75">
      <c r="A89" s="44" t="s">
        <v>210</v>
      </c>
      <c r="B89" s="48" t="s">
        <v>213</v>
      </c>
      <c r="C89" s="14"/>
      <c r="D89" s="14"/>
      <c r="E89" s="14"/>
      <c r="F89" s="14"/>
      <c r="G89" s="369"/>
    </row>
    <row r="90" spans="1:7" ht="12.75">
      <c r="A90" s="44" t="s">
        <v>212</v>
      </c>
      <c r="B90" s="55" t="s">
        <v>215</v>
      </c>
      <c r="C90" s="14">
        <v>58736</v>
      </c>
      <c r="D90" s="14"/>
      <c r="E90" s="14">
        <v>500</v>
      </c>
      <c r="F90" s="14">
        <v>500</v>
      </c>
      <c r="G90" s="369">
        <f t="shared" si="1"/>
        <v>100</v>
      </c>
    </row>
    <row r="91" spans="1:7" ht="12.75">
      <c r="A91" s="44" t="s">
        <v>214</v>
      </c>
      <c r="B91" s="55" t="s">
        <v>217</v>
      </c>
      <c r="C91" s="14"/>
      <c r="D91" s="14"/>
      <c r="E91" s="14"/>
      <c r="F91" s="14"/>
      <c r="G91" s="380"/>
    </row>
    <row r="92" spans="1:7" ht="11.25" customHeight="1">
      <c r="A92" s="44" t="s">
        <v>216</v>
      </c>
      <c r="B92" s="55"/>
      <c r="C92" s="14"/>
      <c r="D92" s="14"/>
      <c r="E92" s="14"/>
      <c r="F92" s="14"/>
      <c r="G92" s="380"/>
    </row>
    <row r="93" spans="1:7" ht="12.75">
      <c r="A93" s="44" t="s">
        <v>218</v>
      </c>
      <c r="B93" s="47" t="s">
        <v>220</v>
      </c>
      <c r="C93" s="15">
        <f>SUM(C94:C96)</f>
        <v>0</v>
      </c>
      <c r="D93" s="15">
        <f>SUM(D94:D96)</f>
        <v>775153</v>
      </c>
      <c r="E93" s="15">
        <f>SUM(E94:E96)</f>
        <v>1223596</v>
      </c>
      <c r="F93" s="15">
        <f>SUM(F94:F96)</f>
        <v>0</v>
      </c>
      <c r="G93" s="380"/>
    </row>
    <row r="94" spans="1:7" ht="12.75">
      <c r="A94" s="44" t="s">
        <v>219</v>
      </c>
      <c r="B94" s="48" t="s">
        <v>53</v>
      </c>
      <c r="C94" s="14"/>
      <c r="D94" s="14"/>
      <c r="E94" s="14"/>
      <c r="F94" s="14"/>
      <c r="G94" s="380"/>
    </row>
    <row r="95" spans="1:7" ht="12.75">
      <c r="A95" s="44" t="s">
        <v>221</v>
      </c>
      <c r="B95" s="48" t="s">
        <v>54</v>
      </c>
      <c r="C95" s="14">
        <v>0</v>
      </c>
      <c r="D95" s="14">
        <v>61083</v>
      </c>
      <c r="E95" s="14">
        <v>188719</v>
      </c>
      <c r="F95" s="14"/>
      <c r="G95" s="380"/>
    </row>
    <row r="96" spans="1:7" ht="12.75">
      <c r="A96" s="44" t="s">
        <v>222</v>
      </c>
      <c r="B96" s="48" t="s">
        <v>55</v>
      </c>
      <c r="C96" s="14">
        <v>0</v>
      </c>
      <c r="D96" s="14">
        <v>714070</v>
      </c>
      <c r="E96" s="14">
        <v>1034877</v>
      </c>
      <c r="F96" s="14"/>
      <c r="G96" s="380"/>
    </row>
    <row r="97" spans="1:7" ht="13.5" thickBot="1">
      <c r="A97" s="44" t="s">
        <v>223</v>
      </c>
      <c r="B97" s="50" t="s">
        <v>225</v>
      </c>
      <c r="C97" s="17"/>
      <c r="D97" s="17"/>
      <c r="E97" s="17"/>
      <c r="F97" s="17"/>
      <c r="G97" s="387"/>
    </row>
    <row r="98" spans="1:7" ht="18.75" customHeight="1" thickBot="1">
      <c r="A98" s="44" t="s">
        <v>224</v>
      </c>
      <c r="B98" s="370" t="s">
        <v>227</v>
      </c>
      <c r="C98" s="373">
        <f>SUM(C65+C83+C93+C97)</f>
        <v>7519405</v>
      </c>
      <c r="D98" s="373">
        <f>SUM(D65+D83+D93+D97)</f>
        <v>5795767</v>
      </c>
      <c r="E98" s="373">
        <f>SUM(E65+E83+E93+E97)</f>
        <v>6306100</v>
      </c>
      <c r="F98" s="373">
        <f>SUM(F65+F83+F93+F97)</f>
        <v>2036201</v>
      </c>
      <c r="G98" s="381">
        <f t="shared" si="1"/>
        <v>32.289386467071566</v>
      </c>
    </row>
    <row r="99" spans="1:7" ht="12.75">
      <c r="A99" s="44" t="s">
        <v>226</v>
      </c>
      <c r="B99" s="45" t="s">
        <v>229</v>
      </c>
      <c r="C99" s="46">
        <f>SUM(C100:C104)</f>
        <v>216096</v>
      </c>
      <c r="D99" s="46">
        <f>SUM(D100:D104)</f>
        <v>95190</v>
      </c>
      <c r="E99" s="46">
        <f>SUM(E100:E104)</f>
        <v>95190</v>
      </c>
      <c r="F99" s="46">
        <f>SUM(F100:F104)</f>
        <v>1592341</v>
      </c>
      <c r="G99" s="379">
        <f t="shared" si="1"/>
        <v>1672.8028154217882</v>
      </c>
    </row>
    <row r="100" spans="1:7" ht="12.75">
      <c r="A100" s="44" t="s">
        <v>228</v>
      </c>
      <c r="B100" s="48" t="s">
        <v>231</v>
      </c>
      <c r="C100" s="14">
        <v>136096</v>
      </c>
      <c r="D100" s="14"/>
      <c r="E100" s="14"/>
      <c r="F100" s="14">
        <v>342393</v>
      </c>
      <c r="G100" s="380"/>
    </row>
    <row r="101" spans="1:7" ht="12.75">
      <c r="A101" s="44" t="s">
        <v>230</v>
      </c>
      <c r="B101" s="48" t="s">
        <v>233</v>
      </c>
      <c r="C101" s="14">
        <v>80000</v>
      </c>
      <c r="D101" s="14">
        <v>95190</v>
      </c>
      <c r="E101" s="14">
        <v>95190</v>
      </c>
      <c r="F101" s="14">
        <f>20000+57333+251265</f>
        <v>328598</v>
      </c>
      <c r="G101" s="369">
        <f t="shared" si="1"/>
        <v>345.20222712469797</v>
      </c>
    </row>
    <row r="102" spans="1:7" ht="12.75">
      <c r="A102" s="44" t="s">
        <v>232</v>
      </c>
      <c r="B102" s="48" t="s">
        <v>235</v>
      </c>
      <c r="C102" s="14"/>
      <c r="D102" s="14"/>
      <c r="E102" s="14"/>
      <c r="F102" s="14">
        <v>871337</v>
      </c>
      <c r="G102" s="380"/>
    </row>
    <row r="103" spans="1:7" ht="12.75">
      <c r="A103" s="44" t="s">
        <v>234</v>
      </c>
      <c r="B103" s="48" t="s">
        <v>486</v>
      </c>
      <c r="C103" s="14"/>
      <c r="D103" s="14"/>
      <c r="E103" s="14"/>
      <c r="F103" s="14">
        <v>50013</v>
      </c>
      <c r="G103" s="380"/>
    </row>
    <row r="104" spans="1:7" ht="12.75" customHeight="1">
      <c r="A104" s="44" t="s">
        <v>236</v>
      </c>
      <c r="B104" s="56" t="s">
        <v>237</v>
      </c>
      <c r="C104" s="14"/>
      <c r="D104" s="14"/>
      <c r="E104" s="14"/>
      <c r="F104" s="14"/>
      <c r="G104" s="380"/>
    </row>
    <row r="105" spans="1:7" ht="12.75">
      <c r="A105" s="44" t="s">
        <v>238</v>
      </c>
      <c r="B105" s="55" t="s">
        <v>239</v>
      </c>
      <c r="C105" s="14"/>
      <c r="D105" s="14"/>
      <c r="E105" s="14"/>
      <c r="F105" s="14"/>
      <c r="G105" s="380"/>
    </row>
    <row r="106" spans="1:7" ht="12.75">
      <c r="A106" s="44" t="s">
        <v>240</v>
      </c>
      <c r="B106" s="55" t="s">
        <v>241</v>
      </c>
      <c r="C106" s="14"/>
      <c r="D106" s="14"/>
      <c r="E106" s="14"/>
      <c r="F106" s="14"/>
      <c r="G106" s="380"/>
    </row>
    <row r="107" spans="1:7" ht="13.5" thickBot="1">
      <c r="A107" s="44" t="s">
        <v>242</v>
      </c>
      <c r="B107" s="50" t="s">
        <v>243</v>
      </c>
      <c r="C107" s="130">
        <v>-260625</v>
      </c>
      <c r="D107" s="133"/>
      <c r="E107" s="133"/>
      <c r="F107" s="130">
        <v>-89963</v>
      </c>
      <c r="G107" s="387"/>
    </row>
    <row r="108" spans="1:7" ht="18.75" customHeight="1" thickBot="1">
      <c r="A108" s="44" t="s">
        <v>244</v>
      </c>
      <c r="B108" s="372" t="s">
        <v>245</v>
      </c>
      <c r="C108" s="375">
        <f>SUM(C99+C104+C107)</f>
        <v>-44529</v>
      </c>
      <c r="D108" s="375">
        <f>SUM(D99+D104+D107)</f>
        <v>95190</v>
      </c>
      <c r="E108" s="375">
        <f>SUM(E99+E104+E107)</f>
        <v>95190</v>
      </c>
      <c r="F108" s="375">
        <f>SUM(F99+F104+F107)</f>
        <v>1502378</v>
      </c>
      <c r="G108" s="381">
        <f t="shared" si="1"/>
        <v>1578.2939384389117</v>
      </c>
    </row>
    <row r="109" spans="1:7" ht="18.75" customHeight="1" thickBot="1">
      <c r="A109" s="44" t="s">
        <v>246</v>
      </c>
      <c r="B109" s="376" t="s">
        <v>488</v>
      </c>
      <c r="C109" s="57">
        <f>SUM(C98+C108)</f>
        <v>7474876</v>
      </c>
      <c r="D109" s="57">
        <f>SUM(D98+D108)</f>
        <v>5890957</v>
      </c>
      <c r="E109" s="57">
        <f>SUM(E98+E108)</f>
        <v>6401290</v>
      </c>
      <c r="F109" s="57">
        <f>SUM(F98+F108)</f>
        <v>3538579</v>
      </c>
      <c r="G109" s="382">
        <f t="shared" si="1"/>
        <v>55.27915467038675</v>
      </c>
    </row>
    <row r="110" spans="1:7" ht="13.5" thickBot="1">
      <c r="A110" s="44" t="s">
        <v>247</v>
      </c>
      <c r="B110" s="72"/>
      <c r="C110" s="73"/>
      <c r="D110" s="73"/>
      <c r="E110" s="73"/>
      <c r="F110" s="73"/>
      <c r="G110" s="381"/>
    </row>
    <row r="111" spans="1:7" ht="18.75" customHeight="1" thickBot="1">
      <c r="A111" s="44" t="s">
        <v>248</v>
      </c>
      <c r="B111" s="378" t="s">
        <v>489</v>
      </c>
      <c r="C111" s="58">
        <f>SUM(C42-C98)</f>
        <v>-598254</v>
      </c>
      <c r="D111" s="58">
        <f>SUM(D42-D98)</f>
        <v>-1104810</v>
      </c>
      <c r="E111" s="58">
        <f>SUM(E42-E98)</f>
        <v>-1645260</v>
      </c>
      <c r="F111" s="58">
        <f>SUM(F42-F98)</f>
        <v>459851</v>
      </c>
      <c r="G111" s="381"/>
    </row>
    <row r="112" spans="1:7" ht="18.75" customHeight="1" thickBot="1">
      <c r="A112" s="44" t="s">
        <v>487</v>
      </c>
      <c r="B112" s="59" t="s">
        <v>249</v>
      </c>
      <c r="C112" s="58">
        <f>SUM(C58-C108)</f>
        <v>-1854</v>
      </c>
      <c r="D112" s="58">
        <f>SUM(D58-D108)</f>
        <v>-95190</v>
      </c>
      <c r="E112" s="58">
        <f>SUM(E58-E108)</f>
        <v>-95190</v>
      </c>
      <c r="F112" s="58">
        <f>SUM(F58-F108)</f>
        <v>-417193</v>
      </c>
      <c r="G112" s="381"/>
    </row>
    <row r="113" ht="12.75">
      <c r="G113" s="86"/>
    </row>
    <row r="114" ht="12.75">
      <c r="G114" s="86"/>
    </row>
    <row r="115" ht="12.75">
      <c r="G115" s="86"/>
    </row>
    <row r="116" ht="12.75">
      <c r="G116" s="86"/>
    </row>
    <row r="117" ht="12.75">
      <c r="G117" s="86"/>
    </row>
    <row r="118" ht="12.75">
      <c r="G118" s="86"/>
    </row>
    <row r="119" ht="12.75">
      <c r="G119" s="86"/>
    </row>
  </sheetData>
  <mergeCells count="2">
    <mergeCell ref="A1:F1"/>
    <mergeCell ref="A61:F61"/>
  </mergeCells>
  <printOptions horizontalCentered="1" verticalCentered="1"/>
  <pageMargins left="0.25" right="0.25" top="0.7874015748031497" bottom="0.4724409448818898" header="0.3937007874015748" footer="0.07874015748031496"/>
  <pageSetup horizontalDpi="600" verticalDpi="600" orientation="portrait" scale="95" r:id="rId1"/>
  <headerFooter alignWithMargins="0">
    <oddHeader>&amp;L1.sz. tájékoztató tábla&amp;C&amp;"Arial CE,Félkövér"&amp;11
2013. I. félévi pénzügyi mérleg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1"/>
  <sheetViews>
    <sheetView workbookViewId="0" topLeftCell="A1">
      <pane xSplit="2" ySplit="4" topLeftCell="C5" activePane="bottomRight" state="frozen"/>
      <selection pane="topLeft" activeCell="E27" sqref="E27"/>
      <selection pane="topRight" activeCell="E27" sqref="E27"/>
      <selection pane="bottomLeft" activeCell="E27" sqref="E27"/>
      <selection pane="bottomRight" activeCell="E4" sqref="E4"/>
    </sheetView>
  </sheetViews>
  <sheetFormatPr defaultColWidth="9.00390625" defaultRowHeight="12.75"/>
  <cols>
    <col min="1" max="1" width="2.75390625" style="98" customWidth="1"/>
    <col min="2" max="2" width="26.125" style="98" customWidth="1"/>
    <col min="3" max="3" width="8.75390625" style="98" customWidth="1"/>
    <col min="4" max="4" width="8.625" style="98" customWidth="1"/>
    <col min="5" max="5" width="9.375" style="98" customWidth="1"/>
    <col min="6" max="6" width="9.125" style="98" customWidth="1"/>
    <col min="7" max="7" width="4.125" style="491" customWidth="1"/>
    <col min="8" max="8" width="27.25390625" style="98" customWidth="1"/>
    <col min="9" max="10" width="8.625" style="98" customWidth="1"/>
    <col min="11" max="11" width="9.625" style="98" customWidth="1"/>
    <col min="12" max="12" width="9.125" style="499" customWidth="1"/>
    <col min="13" max="13" width="5.125" style="491" customWidth="1"/>
    <col min="14" max="16384" width="9.125" style="98" customWidth="1"/>
  </cols>
  <sheetData>
    <row r="2" spans="12:13" ht="12.75" customHeight="1" thickBot="1">
      <c r="L2" s="575"/>
      <c r="M2" s="575"/>
    </row>
    <row r="3" spans="1:13" ht="12.75" customHeight="1" thickBot="1">
      <c r="A3" s="390"/>
      <c r="B3" s="395" t="s">
        <v>62</v>
      </c>
      <c r="C3" s="396" t="s">
        <v>63</v>
      </c>
      <c r="D3" s="396" t="s">
        <v>64</v>
      </c>
      <c r="E3" s="396" t="s">
        <v>65</v>
      </c>
      <c r="F3" s="396" t="s">
        <v>66</v>
      </c>
      <c r="G3" s="472" t="s">
        <v>67</v>
      </c>
      <c r="H3" s="395" t="s">
        <v>476</v>
      </c>
      <c r="I3" s="396" t="s">
        <v>69</v>
      </c>
      <c r="J3" s="396" t="s">
        <v>70</v>
      </c>
      <c r="K3" s="396" t="s">
        <v>324</v>
      </c>
      <c r="L3" s="492" t="s">
        <v>477</v>
      </c>
      <c r="M3" s="472" t="s">
        <v>478</v>
      </c>
    </row>
    <row r="4" spans="1:13" s="491" customFormat="1" ht="35.25" customHeight="1" thickBot="1">
      <c r="A4" s="504"/>
      <c r="B4" s="402" t="s">
        <v>18</v>
      </c>
      <c r="C4" s="403" t="s">
        <v>379</v>
      </c>
      <c r="D4" s="403" t="s">
        <v>383</v>
      </c>
      <c r="E4" s="132" t="s">
        <v>493</v>
      </c>
      <c r="F4" s="403" t="s">
        <v>381</v>
      </c>
      <c r="G4" s="404" t="s">
        <v>328</v>
      </c>
      <c r="H4" s="407" t="s">
        <v>19</v>
      </c>
      <c r="I4" s="403" t="s">
        <v>379</v>
      </c>
      <c r="J4" s="403" t="s">
        <v>383</v>
      </c>
      <c r="K4" s="132" t="s">
        <v>493</v>
      </c>
      <c r="L4" s="493" t="s">
        <v>381</v>
      </c>
      <c r="M4" s="404" t="s">
        <v>328</v>
      </c>
    </row>
    <row r="5" spans="1:13" ht="12" customHeight="1">
      <c r="A5" s="310" t="s">
        <v>2</v>
      </c>
      <c r="B5" s="255" t="s">
        <v>52</v>
      </c>
      <c r="C5" s="273">
        <v>428289</v>
      </c>
      <c r="D5" s="256">
        <v>209988</v>
      </c>
      <c r="E5" s="273">
        <f>210438+134</f>
        <v>210572</v>
      </c>
      <c r="F5" s="256">
        <v>156729</v>
      </c>
      <c r="G5" s="473">
        <f>F5/E5*100</f>
        <v>74.43012366316509</v>
      </c>
      <c r="H5" s="255" t="s">
        <v>49</v>
      </c>
      <c r="I5" s="273">
        <v>2790547</v>
      </c>
      <c r="J5" s="256">
        <v>1062859</v>
      </c>
      <c r="K5" s="256">
        <v>1072450</v>
      </c>
      <c r="L5" s="481">
        <v>473503</v>
      </c>
      <c r="M5" s="473">
        <f>L5/K5*100</f>
        <v>44.1515222154879</v>
      </c>
    </row>
    <row r="6" spans="1:13" ht="12" customHeight="1">
      <c r="A6" s="310" t="s">
        <v>3</v>
      </c>
      <c r="B6" s="257" t="s">
        <v>329</v>
      </c>
      <c r="C6" s="14">
        <v>1287001</v>
      </c>
      <c r="D6" s="252">
        <v>1022170</v>
      </c>
      <c r="E6" s="14">
        <v>1022170</v>
      </c>
      <c r="F6" s="252">
        <v>589422</v>
      </c>
      <c r="G6" s="474">
        <f>F6/E6*100</f>
        <v>57.66379369380827</v>
      </c>
      <c r="H6" s="257" t="s">
        <v>251</v>
      </c>
      <c r="I6" s="14">
        <v>722304</v>
      </c>
      <c r="J6" s="252">
        <v>252255</v>
      </c>
      <c r="K6" s="252">
        <v>254325</v>
      </c>
      <c r="L6" s="482">
        <v>108128</v>
      </c>
      <c r="M6" s="474">
        <f>L6/K6*100</f>
        <v>42.51567875749533</v>
      </c>
    </row>
    <row r="7" spans="1:13" ht="12" customHeight="1">
      <c r="A7" s="310" t="s">
        <v>4</v>
      </c>
      <c r="B7" s="257" t="s">
        <v>59</v>
      </c>
      <c r="C7" s="14">
        <f>2423914-17592</f>
        <v>2406322</v>
      </c>
      <c r="D7" s="252">
        <v>771259</v>
      </c>
      <c r="E7" s="14">
        <f>771259+11179-10489+148183</f>
        <v>920132</v>
      </c>
      <c r="F7" s="252">
        <v>620183</v>
      </c>
      <c r="G7" s="474">
        <f>F7/E7*100</f>
        <v>67.40152499858716</v>
      </c>
      <c r="H7" s="257" t="s">
        <v>50</v>
      </c>
      <c r="I7" s="14">
        <v>1629675</v>
      </c>
      <c r="J7" s="252">
        <v>997463</v>
      </c>
      <c r="K7" s="252">
        <v>1002394</v>
      </c>
      <c r="L7" s="482">
        <v>594554</v>
      </c>
      <c r="M7" s="474">
        <f>L7/K7*100</f>
        <v>59.31340371151463</v>
      </c>
    </row>
    <row r="8" spans="1:13" ht="12" customHeight="1">
      <c r="A8" s="310" t="s">
        <v>5</v>
      </c>
      <c r="B8" s="257" t="s">
        <v>252</v>
      </c>
      <c r="C8" s="14">
        <f>1720942+13279</f>
        <v>1734221</v>
      </c>
      <c r="D8" s="252">
        <v>965284</v>
      </c>
      <c r="E8" s="14">
        <f>765284+10489+984-12373</f>
        <v>764384</v>
      </c>
      <c r="F8" s="252">
        <v>278052</v>
      </c>
      <c r="G8" s="474">
        <f>F8/E8*100</f>
        <v>36.37595763385942</v>
      </c>
      <c r="H8" s="268" t="s">
        <v>484</v>
      </c>
      <c r="I8" s="14"/>
      <c r="J8" s="252"/>
      <c r="K8" s="252"/>
      <c r="L8" s="482"/>
      <c r="M8" s="474"/>
    </row>
    <row r="9" spans="1:13" ht="12" customHeight="1">
      <c r="A9" s="310" t="s">
        <v>6</v>
      </c>
      <c r="B9" s="257" t="s">
        <v>254</v>
      </c>
      <c r="C9" s="14">
        <v>51235</v>
      </c>
      <c r="D9" s="252"/>
      <c r="E9" s="14">
        <v>8500</v>
      </c>
      <c r="F9" s="252">
        <v>31100</v>
      </c>
      <c r="G9" s="474">
        <f>F9/E9*100</f>
        <v>365.88235294117646</v>
      </c>
      <c r="H9" s="257" t="s">
        <v>255</v>
      </c>
      <c r="I9" s="14">
        <v>43930</v>
      </c>
      <c r="J9" s="252">
        <v>30000</v>
      </c>
      <c r="K9" s="252">
        <v>30000</v>
      </c>
      <c r="L9" s="482">
        <v>12857</v>
      </c>
      <c r="M9" s="474">
        <f>L9/K9*100</f>
        <v>42.85666666666666</v>
      </c>
    </row>
    <row r="10" spans="1:13" ht="12" customHeight="1">
      <c r="A10" s="310" t="s">
        <v>7</v>
      </c>
      <c r="B10" s="257" t="s">
        <v>330</v>
      </c>
      <c r="C10" s="14">
        <v>20000</v>
      </c>
      <c r="D10" s="252"/>
      <c r="E10" s="252"/>
      <c r="F10" s="252"/>
      <c r="G10" s="474"/>
      <c r="H10" s="257" t="s">
        <v>87</v>
      </c>
      <c r="I10" s="14">
        <v>91226</v>
      </c>
      <c r="J10" s="252">
        <v>700</v>
      </c>
      <c r="K10" s="252">
        <v>700</v>
      </c>
      <c r="L10" s="482">
        <v>520</v>
      </c>
      <c r="M10" s="474">
        <f>L10/K10*100</f>
        <v>74.28571428571429</v>
      </c>
    </row>
    <row r="11" spans="1:13" ht="12" customHeight="1">
      <c r="A11" s="310" t="s">
        <v>9</v>
      </c>
      <c r="B11" s="257"/>
      <c r="C11" s="14"/>
      <c r="D11" s="252"/>
      <c r="E11" s="252"/>
      <c r="F11" s="252"/>
      <c r="G11" s="474"/>
      <c r="H11" s="257" t="s">
        <v>331</v>
      </c>
      <c r="I11" s="14">
        <v>62342</v>
      </c>
      <c r="J11" s="252">
        <v>307111</v>
      </c>
      <c r="K11" s="252">
        <v>332238</v>
      </c>
      <c r="L11" s="482">
        <v>131845</v>
      </c>
      <c r="M11" s="474">
        <f>L11/K11*100</f>
        <v>39.683901299670715</v>
      </c>
    </row>
    <row r="12" spans="1:13" ht="12" customHeight="1">
      <c r="A12" s="310" t="s">
        <v>10</v>
      </c>
      <c r="B12" s="257"/>
      <c r="C12" s="14"/>
      <c r="D12" s="252"/>
      <c r="E12" s="252"/>
      <c r="F12" s="252"/>
      <c r="G12" s="474"/>
      <c r="H12" s="257" t="s">
        <v>256</v>
      </c>
      <c r="I12" s="14">
        <v>356050</v>
      </c>
      <c r="J12" s="252">
        <v>362040</v>
      </c>
      <c r="K12" s="252">
        <v>362730</v>
      </c>
      <c r="L12" s="482">
        <v>142951</v>
      </c>
      <c r="M12" s="474">
        <f>L12/K12*100</f>
        <v>39.409753811374856</v>
      </c>
    </row>
    <row r="13" spans="1:13" ht="12" customHeight="1">
      <c r="A13" s="310" t="s">
        <v>11</v>
      </c>
      <c r="B13" s="257"/>
      <c r="C13" s="14"/>
      <c r="D13" s="252"/>
      <c r="E13" s="252"/>
      <c r="F13" s="252"/>
      <c r="G13" s="474"/>
      <c r="H13" s="257" t="s">
        <v>332</v>
      </c>
      <c r="I13" s="14"/>
      <c r="J13" s="252"/>
      <c r="K13" s="252"/>
      <c r="L13" s="482"/>
      <c r="M13" s="474"/>
    </row>
    <row r="14" spans="1:13" ht="12" customHeight="1">
      <c r="A14" s="310" t="s">
        <v>13</v>
      </c>
      <c r="B14" s="257"/>
      <c r="C14" s="14"/>
      <c r="D14" s="252"/>
      <c r="E14" s="252"/>
      <c r="F14" s="252"/>
      <c r="G14" s="474"/>
      <c r="H14" s="257" t="s">
        <v>257</v>
      </c>
      <c r="I14" s="14">
        <v>20000</v>
      </c>
      <c r="J14" s="252"/>
      <c r="K14" s="252"/>
      <c r="L14" s="482"/>
      <c r="M14" s="474"/>
    </row>
    <row r="15" spans="1:13" ht="12" customHeight="1">
      <c r="A15" s="310" t="s">
        <v>71</v>
      </c>
      <c r="B15" s="257"/>
      <c r="C15" s="14"/>
      <c r="D15" s="252"/>
      <c r="E15" s="252"/>
      <c r="F15" s="252"/>
      <c r="G15" s="474"/>
      <c r="H15" s="257" t="s">
        <v>258</v>
      </c>
      <c r="I15" s="14">
        <v>643843</v>
      </c>
      <c r="J15" s="252"/>
      <c r="K15" s="252"/>
      <c r="L15" s="482"/>
      <c r="M15" s="474"/>
    </row>
    <row r="16" spans="1:13" ht="12" customHeight="1" thickBot="1">
      <c r="A16" s="310" t="s">
        <v>72</v>
      </c>
      <c r="B16" s="258"/>
      <c r="C16" s="17"/>
      <c r="D16" s="259"/>
      <c r="E16" s="259"/>
      <c r="F16" s="259"/>
      <c r="G16" s="475"/>
      <c r="H16" s="258" t="s">
        <v>259</v>
      </c>
      <c r="I16" s="17"/>
      <c r="J16" s="259">
        <v>61083</v>
      </c>
      <c r="K16" s="259">
        <f>40083+148636</f>
        <v>188719</v>
      </c>
      <c r="L16" s="494"/>
      <c r="M16" s="475"/>
    </row>
    <row r="17" spans="1:13" ht="22.5" customHeight="1" thickBot="1">
      <c r="A17" s="310" t="s">
        <v>73</v>
      </c>
      <c r="B17" s="260" t="s">
        <v>333</v>
      </c>
      <c r="C17" s="270">
        <f>SUM(C5:C16)</f>
        <v>5927068</v>
      </c>
      <c r="D17" s="261">
        <f>SUM(D5:D16)</f>
        <v>2968701</v>
      </c>
      <c r="E17" s="261">
        <f>SUM(E5:E16)</f>
        <v>2925758</v>
      </c>
      <c r="F17" s="261">
        <f>SUM(F5:F16)</f>
        <v>1675486</v>
      </c>
      <c r="G17" s="479">
        <f>F17/E17*100</f>
        <v>57.266732245113914</v>
      </c>
      <c r="H17" s="397" t="s">
        <v>334</v>
      </c>
      <c r="I17" s="261">
        <f>SUM(I5:I16)</f>
        <v>6359917</v>
      </c>
      <c r="J17" s="261">
        <f>SUM(J5:J16)</f>
        <v>3073511</v>
      </c>
      <c r="K17" s="261">
        <f>SUM(K5:K16)</f>
        <v>3243556</v>
      </c>
      <c r="L17" s="485">
        <f>SUM(L5:L16)</f>
        <v>1464358</v>
      </c>
      <c r="M17" s="479">
        <f>L17/K17*100</f>
        <v>45.14668468803992</v>
      </c>
    </row>
    <row r="18" spans="1:13" ht="21.75" customHeight="1">
      <c r="A18" s="310" t="s">
        <v>74</v>
      </c>
      <c r="B18" s="262" t="s">
        <v>262</v>
      </c>
      <c r="C18" s="46">
        <v>1056563</v>
      </c>
      <c r="D18" s="263">
        <v>200000</v>
      </c>
      <c r="E18" s="263">
        <v>412535</v>
      </c>
      <c r="F18" s="263"/>
      <c r="G18" s="501"/>
      <c r="H18" s="255" t="s">
        <v>263</v>
      </c>
      <c r="I18" s="273">
        <v>80000</v>
      </c>
      <c r="J18" s="256">
        <v>95190</v>
      </c>
      <c r="K18" s="273">
        <f>146040-50850</f>
        <v>95190</v>
      </c>
      <c r="L18" s="500">
        <v>328598</v>
      </c>
      <c r="M18" s="501">
        <f>L18/K18*100</f>
        <v>345.20222712469797</v>
      </c>
    </row>
    <row r="19" spans="1:13" ht="12" customHeight="1">
      <c r="A19" s="310" t="s">
        <v>75</v>
      </c>
      <c r="B19" s="264" t="s">
        <v>335</v>
      </c>
      <c r="C19" s="15"/>
      <c r="D19" s="253"/>
      <c r="E19" s="253"/>
      <c r="F19" s="253"/>
      <c r="G19" s="474"/>
      <c r="H19" s="257" t="s">
        <v>264</v>
      </c>
      <c r="I19" s="14"/>
      <c r="J19" s="252"/>
      <c r="K19" s="14"/>
      <c r="L19" s="482">
        <v>871337</v>
      </c>
      <c r="M19" s="474"/>
    </row>
    <row r="20" spans="1:13" ht="12" customHeight="1">
      <c r="A20" s="310" t="s">
        <v>76</v>
      </c>
      <c r="B20" s="257" t="s">
        <v>265</v>
      </c>
      <c r="C20" s="14"/>
      <c r="D20" s="252"/>
      <c r="E20" s="252"/>
      <c r="F20" s="252">
        <v>251265</v>
      </c>
      <c r="G20" s="474"/>
      <c r="H20" s="257" t="s">
        <v>266</v>
      </c>
      <c r="I20" s="14"/>
      <c r="J20" s="254"/>
      <c r="K20" s="274"/>
      <c r="L20" s="482"/>
      <c r="M20" s="474"/>
    </row>
    <row r="21" spans="1:13" ht="12" customHeight="1">
      <c r="A21" s="310" t="s">
        <v>77</v>
      </c>
      <c r="B21" s="257" t="s">
        <v>267</v>
      </c>
      <c r="C21" s="14">
        <v>149725</v>
      </c>
      <c r="D21" s="252"/>
      <c r="E21" s="252"/>
      <c r="F21" s="252">
        <v>840000</v>
      </c>
      <c r="G21" s="474"/>
      <c r="H21" s="547" t="s">
        <v>490</v>
      </c>
      <c r="I21" s="15"/>
      <c r="J21" s="253"/>
      <c r="K21" s="15"/>
      <c r="L21" s="482">
        <v>50013</v>
      </c>
      <c r="M21" s="474"/>
    </row>
    <row r="22" spans="1:13" ht="12" customHeight="1">
      <c r="A22" s="310" t="s">
        <v>78</v>
      </c>
      <c r="B22" s="257" t="s">
        <v>60</v>
      </c>
      <c r="C22" s="14"/>
      <c r="D22" s="252"/>
      <c r="E22" s="252"/>
      <c r="F22" s="252"/>
      <c r="G22" s="474"/>
      <c r="H22" s="257" t="s">
        <v>268</v>
      </c>
      <c r="I22" s="14"/>
      <c r="J22" s="252"/>
      <c r="K22" s="14"/>
      <c r="L22" s="482"/>
      <c r="M22" s="474"/>
    </row>
    <row r="23" spans="1:13" ht="12" customHeight="1">
      <c r="A23" s="310" t="s">
        <v>84</v>
      </c>
      <c r="B23" s="257" t="s">
        <v>336</v>
      </c>
      <c r="C23" s="14"/>
      <c r="D23" s="252"/>
      <c r="E23" s="252"/>
      <c r="F23" s="252"/>
      <c r="G23" s="474"/>
      <c r="H23" s="257" t="s">
        <v>269</v>
      </c>
      <c r="I23" s="14"/>
      <c r="J23" s="252"/>
      <c r="K23" s="14"/>
      <c r="L23" s="482"/>
      <c r="M23" s="474"/>
    </row>
    <row r="24" spans="1:13" ht="12" customHeight="1">
      <c r="A24" s="310" t="s">
        <v>85</v>
      </c>
      <c r="B24" s="257" t="s">
        <v>337</v>
      </c>
      <c r="C24" s="14"/>
      <c r="D24" s="252"/>
      <c r="E24" s="252"/>
      <c r="F24" s="252"/>
      <c r="G24" s="474"/>
      <c r="H24" s="257" t="s">
        <v>270</v>
      </c>
      <c r="I24" s="14"/>
      <c r="J24" s="252"/>
      <c r="K24" s="14"/>
      <c r="L24" s="482"/>
      <c r="M24" s="474"/>
    </row>
    <row r="25" spans="1:13" ht="12" customHeight="1">
      <c r="A25" s="310" t="s">
        <v>113</v>
      </c>
      <c r="B25" s="257" t="s">
        <v>339</v>
      </c>
      <c r="C25" s="14"/>
      <c r="D25" s="252"/>
      <c r="E25" s="252"/>
      <c r="F25" s="252"/>
      <c r="G25" s="474"/>
      <c r="H25" s="257" t="s">
        <v>338</v>
      </c>
      <c r="I25" s="545"/>
      <c r="J25" s="545"/>
      <c r="K25" s="545"/>
      <c r="L25" s="546"/>
      <c r="M25" s="474"/>
    </row>
    <row r="26" spans="1:13" ht="12" customHeight="1">
      <c r="A26" s="310" t="s">
        <v>114</v>
      </c>
      <c r="B26" s="257" t="s">
        <v>340</v>
      </c>
      <c r="C26" s="15"/>
      <c r="D26" s="253"/>
      <c r="E26" s="253"/>
      <c r="F26" s="253"/>
      <c r="G26" s="474"/>
      <c r="H26" s="257" t="s">
        <v>273</v>
      </c>
      <c r="I26" s="14">
        <v>-260625</v>
      </c>
      <c r="J26" s="253"/>
      <c r="K26" s="15"/>
      <c r="L26" s="482">
        <v>-89963</v>
      </c>
      <c r="M26" s="474"/>
    </row>
    <row r="27" spans="1:13" ht="12" customHeight="1">
      <c r="A27" s="310" t="s">
        <v>115</v>
      </c>
      <c r="B27" s="257" t="s">
        <v>274</v>
      </c>
      <c r="C27" s="14">
        <v>-196108</v>
      </c>
      <c r="D27" s="252"/>
      <c r="E27" s="252"/>
      <c r="F27" s="252">
        <v>-6080</v>
      </c>
      <c r="G27" s="474"/>
      <c r="H27" s="257"/>
      <c r="I27" s="252"/>
      <c r="J27" s="252"/>
      <c r="K27" s="252"/>
      <c r="L27" s="495"/>
      <c r="M27" s="474"/>
    </row>
    <row r="28" spans="1:13" ht="12" customHeight="1" thickBot="1">
      <c r="A28" s="310" t="s">
        <v>117</v>
      </c>
      <c r="B28" s="258"/>
      <c r="C28" s="17"/>
      <c r="D28" s="259"/>
      <c r="E28" s="259"/>
      <c r="F28" s="259"/>
      <c r="G28" s="475"/>
      <c r="H28" s="258"/>
      <c r="I28" s="269"/>
      <c r="J28" s="269"/>
      <c r="K28" s="269"/>
      <c r="L28" s="496"/>
      <c r="M28" s="475"/>
    </row>
    <row r="29" spans="1:13" ht="22.5" customHeight="1" thickBot="1">
      <c r="A29" s="310" t="s">
        <v>119</v>
      </c>
      <c r="B29" s="260" t="s">
        <v>275</v>
      </c>
      <c r="C29" s="270">
        <f>SUM(C20:C28)</f>
        <v>-46383</v>
      </c>
      <c r="D29" s="261">
        <f>SUM(D20:D28)</f>
        <v>0</v>
      </c>
      <c r="E29" s="261">
        <f>SUM(E20:E28)</f>
        <v>0</v>
      </c>
      <c r="F29" s="261">
        <f>SUM(F20:F28)</f>
        <v>1085185</v>
      </c>
      <c r="G29" s="477"/>
      <c r="H29" s="260" t="s">
        <v>276</v>
      </c>
      <c r="I29" s="261">
        <f>SUM(I18:I28)</f>
        <v>-180625</v>
      </c>
      <c r="J29" s="261">
        <f>SUM(J18:J28)</f>
        <v>95190</v>
      </c>
      <c r="K29" s="261">
        <f>SUM(K18:K28)</f>
        <v>95190</v>
      </c>
      <c r="L29" s="497">
        <f>SUM(L18:L28)</f>
        <v>1159985</v>
      </c>
      <c r="M29" s="479">
        <f>L29/K29*100</f>
        <v>1218.5996428196238</v>
      </c>
    </row>
    <row r="30" spans="1:13" s="99" customFormat="1" ht="22.5" customHeight="1" thickBot="1">
      <c r="A30" s="310" t="s">
        <v>121</v>
      </c>
      <c r="B30" s="265" t="s">
        <v>277</v>
      </c>
      <c r="C30" s="272">
        <f>SUM(C17+C18+C19+C29)</f>
        <v>6937248</v>
      </c>
      <c r="D30" s="266">
        <f>SUM(D17+D18+D19+D29)</f>
        <v>3168701</v>
      </c>
      <c r="E30" s="266">
        <f>SUM(E17+E18+E19+E29)</f>
        <v>3338293</v>
      </c>
      <c r="F30" s="266">
        <f>SUM(F17+F18+F19+F29)</f>
        <v>2760671</v>
      </c>
      <c r="G30" s="478">
        <f>F30/E30*100</f>
        <v>82.69708500721777</v>
      </c>
      <c r="H30" s="265" t="s">
        <v>278</v>
      </c>
      <c r="I30" s="266">
        <f>SUM(I17+I29)</f>
        <v>6179292</v>
      </c>
      <c r="J30" s="266">
        <f>SUM(J17+J29)</f>
        <v>3168701</v>
      </c>
      <c r="K30" s="266">
        <f>SUM(K17+K29)</f>
        <v>3338746</v>
      </c>
      <c r="L30" s="498">
        <f>SUM(L17+L29)</f>
        <v>2624343</v>
      </c>
      <c r="M30" s="478">
        <f>L30/K30*100</f>
        <v>78.60265500879672</v>
      </c>
    </row>
    <row r="31" spans="1:13" ht="16.5" customHeight="1" thickBot="1">
      <c r="A31" s="311" t="s">
        <v>122</v>
      </c>
      <c r="B31" s="267" t="s">
        <v>279</v>
      </c>
      <c r="C31" s="270">
        <f>SUM(I17-C17)</f>
        <v>432849</v>
      </c>
      <c r="D31" s="261">
        <f>SUM(J17-D17)</f>
        <v>104810</v>
      </c>
      <c r="E31" s="261">
        <f>SUM(K17-E17)</f>
        <v>317798</v>
      </c>
      <c r="F31" s="261"/>
      <c r="G31" s="479"/>
      <c r="H31" s="267" t="s">
        <v>280</v>
      </c>
      <c r="I31" s="261"/>
      <c r="J31" s="261"/>
      <c r="K31" s="261"/>
      <c r="L31" s="485">
        <f>SUM(F17-L17)</f>
        <v>211128</v>
      </c>
      <c r="M31" s="479"/>
    </row>
    <row r="45" ht="12" customHeight="1"/>
  </sheetData>
  <mergeCells count="1">
    <mergeCell ref="L2:M2"/>
  </mergeCells>
  <printOptions horizontalCentered="1" verticalCentered="1"/>
  <pageMargins left="0.39375" right="0.39375" top="0.7868055555555555" bottom="0.4722222222222222" header="0.5902777777777778" footer="0.5118055555555555"/>
  <pageSetup fitToHeight="1" fitToWidth="1" horizontalDpi="300" verticalDpi="300" orientation="landscape" scale="97" r:id="rId1"/>
  <headerFooter alignWithMargins="0">
    <oddHeader>&amp;L&amp;8 2.sz. tájékoztató tábla&amp;C&amp;"Arial CE,Félkövér"&amp;11Működési célú  bevételek és kiadások mérlege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workbookViewId="0" topLeftCell="A4">
      <selection activeCell="M3" sqref="M3"/>
    </sheetView>
  </sheetViews>
  <sheetFormatPr defaultColWidth="9.00390625" defaultRowHeight="12.75"/>
  <cols>
    <col min="1" max="1" width="3.375" style="100" customWidth="1"/>
    <col min="2" max="2" width="29.875" style="100" customWidth="1"/>
    <col min="3" max="3" width="8.875" style="100" hidden="1" customWidth="1"/>
    <col min="4" max="4" width="8.75390625" style="100" customWidth="1"/>
    <col min="5" max="6" width="8.625" style="100" customWidth="1"/>
    <col min="7" max="7" width="9.125" style="100" customWidth="1"/>
    <col min="8" max="8" width="4.25390625" style="398" bestFit="1" customWidth="1"/>
    <col min="9" max="9" width="26.625" style="100" customWidth="1"/>
    <col min="10" max="10" width="8.375" style="100" hidden="1" customWidth="1"/>
    <col min="11" max="11" width="9.00390625" style="100" customWidth="1"/>
    <col min="12" max="12" width="9.375" style="100" bestFit="1" customWidth="1"/>
    <col min="13" max="13" width="9.375" style="100" customWidth="1"/>
    <col min="14" max="14" width="8.875" style="398" customWidth="1"/>
    <col min="15" max="15" width="4.125" style="398" customWidth="1"/>
    <col min="16" max="16384" width="9.125" style="100" customWidth="1"/>
  </cols>
  <sheetData>
    <row r="1" spans="14:15" ht="13.5" thickBot="1">
      <c r="N1" s="595"/>
      <c r="O1" s="595"/>
    </row>
    <row r="2" spans="1:15" ht="13.5" thickBot="1">
      <c r="A2" s="399"/>
      <c r="B2" s="395" t="s">
        <v>62</v>
      </c>
      <c r="C2" s="396" t="s">
        <v>63</v>
      </c>
      <c r="D2" s="396" t="s">
        <v>63</v>
      </c>
      <c r="E2" s="396" t="s">
        <v>64</v>
      </c>
      <c r="F2" s="396" t="s">
        <v>65</v>
      </c>
      <c r="G2" s="396" t="s">
        <v>66</v>
      </c>
      <c r="H2" s="472" t="s">
        <v>67</v>
      </c>
      <c r="I2" s="395" t="s">
        <v>68</v>
      </c>
      <c r="J2" s="396" t="s">
        <v>70</v>
      </c>
      <c r="K2" s="396" t="s">
        <v>69</v>
      </c>
      <c r="L2" s="396" t="s">
        <v>70</v>
      </c>
      <c r="M2" s="396" t="s">
        <v>324</v>
      </c>
      <c r="N2" s="480" t="s">
        <v>477</v>
      </c>
      <c r="O2" s="472" t="s">
        <v>478</v>
      </c>
    </row>
    <row r="3" spans="1:15" s="398" customFormat="1" ht="34.5" customHeight="1" thickBot="1">
      <c r="A3" s="400"/>
      <c r="B3" s="402" t="s">
        <v>18</v>
      </c>
      <c r="C3" s="403" t="s">
        <v>327</v>
      </c>
      <c r="D3" s="403" t="s">
        <v>379</v>
      </c>
      <c r="E3" s="403" t="s">
        <v>383</v>
      </c>
      <c r="F3" s="132" t="s">
        <v>493</v>
      </c>
      <c r="G3" s="403" t="s">
        <v>381</v>
      </c>
      <c r="H3" s="404" t="s">
        <v>328</v>
      </c>
      <c r="I3" s="407" t="s">
        <v>19</v>
      </c>
      <c r="J3" s="403" t="s">
        <v>327</v>
      </c>
      <c r="K3" s="403" t="s">
        <v>379</v>
      </c>
      <c r="L3" s="403" t="s">
        <v>383</v>
      </c>
      <c r="M3" s="132" t="s">
        <v>493</v>
      </c>
      <c r="N3" s="403" t="s">
        <v>381</v>
      </c>
      <c r="O3" s="404" t="s">
        <v>328</v>
      </c>
    </row>
    <row r="4" spans="1:15" ht="12.75" customHeight="1">
      <c r="A4" s="401" t="s">
        <v>2</v>
      </c>
      <c r="B4" s="255" t="s">
        <v>341</v>
      </c>
      <c r="C4" s="256">
        <v>8775</v>
      </c>
      <c r="D4" s="273">
        <v>60301</v>
      </c>
      <c r="E4" s="256">
        <v>19000</v>
      </c>
      <c r="F4" s="256">
        <v>19000</v>
      </c>
      <c r="G4" s="256">
        <v>5923</v>
      </c>
      <c r="H4" s="473">
        <f>G4/F4*100</f>
        <v>31.173684210526314</v>
      </c>
      <c r="I4" s="255" t="s">
        <v>281</v>
      </c>
      <c r="J4" s="256">
        <v>199014</v>
      </c>
      <c r="K4" s="273">
        <v>723187</v>
      </c>
      <c r="L4" s="256">
        <v>1538839</v>
      </c>
      <c r="M4" s="256">
        <v>1553462</v>
      </c>
      <c r="N4" s="481">
        <v>158583</v>
      </c>
      <c r="O4" s="473">
        <f>N4/M4*100</f>
        <v>10.208360423364073</v>
      </c>
    </row>
    <row r="5" spans="1:18" ht="12.75" customHeight="1">
      <c r="A5" s="401" t="s">
        <v>3</v>
      </c>
      <c r="B5" s="257" t="s">
        <v>342</v>
      </c>
      <c r="C5" s="252">
        <v>175619</v>
      </c>
      <c r="D5" s="14">
        <v>5793</v>
      </c>
      <c r="E5" s="252">
        <v>6860</v>
      </c>
      <c r="F5" s="252">
        <v>6860</v>
      </c>
      <c r="G5" s="252">
        <v>2419</v>
      </c>
      <c r="H5" s="474">
        <f>G5/F5*100</f>
        <v>35.262390670553934</v>
      </c>
      <c r="I5" s="257" t="s">
        <v>51</v>
      </c>
      <c r="J5" s="252">
        <v>28695</v>
      </c>
      <c r="K5" s="14">
        <v>269922</v>
      </c>
      <c r="L5" s="252">
        <v>212144</v>
      </c>
      <c r="M5" s="252">
        <v>216502</v>
      </c>
      <c r="N5" s="482">
        <v>272826</v>
      </c>
      <c r="O5" s="474">
        <f>N5/M5*100</f>
        <v>126.0154640603782</v>
      </c>
      <c r="R5" s="465"/>
    </row>
    <row r="6" spans="1:15" ht="22.5">
      <c r="A6" s="401" t="s">
        <v>4</v>
      </c>
      <c r="B6" s="257" t="s">
        <v>343</v>
      </c>
      <c r="C6" s="252"/>
      <c r="D6" s="14"/>
      <c r="E6" s="252"/>
      <c r="F6" s="252"/>
      <c r="G6" s="252"/>
      <c r="H6" s="474"/>
      <c r="I6" s="257" t="s">
        <v>282</v>
      </c>
      <c r="J6" s="252"/>
      <c r="K6" s="14"/>
      <c r="L6" s="252"/>
      <c r="M6" s="252"/>
      <c r="N6" s="482"/>
      <c r="O6" s="474"/>
    </row>
    <row r="7" spans="1:15" ht="22.5">
      <c r="A7" s="401" t="s">
        <v>5</v>
      </c>
      <c r="B7" s="268" t="s">
        <v>319</v>
      </c>
      <c r="C7" s="252"/>
      <c r="D7" s="14">
        <v>78032</v>
      </c>
      <c r="E7" s="252">
        <v>70000</v>
      </c>
      <c r="F7" s="252">
        <v>70000</v>
      </c>
      <c r="G7" s="252">
        <v>32525</v>
      </c>
      <c r="H7" s="474">
        <f>G7/F7*100</f>
        <v>46.464285714285715</v>
      </c>
      <c r="I7" s="257" t="s">
        <v>283</v>
      </c>
      <c r="J7" s="252">
        <v>210</v>
      </c>
      <c r="K7" s="14">
        <v>9960</v>
      </c>
      <c r="L7" s="252"/>
      <c r="M7" s="252"/>
      <c r="N7" s="482">
        <v>6740</v>
      </c>
      <c r="O7" s="474"/>
    </row>
    <row r="8" spans="1:15" ht="12.75" customHeight="1">
      <c r="A8" s="401" t="s">
        <v>6</v>
      </c>
      <c r="B8" s="257" t="s">
        <v>284</v>
      </c>
      <c r="C8" s="252"/>
      <c r="D8" s="14"/>
      <c r="E8" s="252"/>
      <c r="F8" s="252"/>
      <c r="G8" s="252"/>
      <c r="H8" s="474"/>
      <c r="I8" s="257" t="s">
        <v>285</v>
      </c>
      <c r="J8" s="252"/>
      <c r="K8" s="14">
        <v>58736</v>
      </c>
      <c r="L8" s="252"/>
      <c r="M8" s="252">
        <v>500</v>
      </c>
      <c r="N8" s="482">
        <v>500</v>
      </c>
      <c r="O8" s="474">
        <f>N8/M8*100</f>
        <v>100</v>
      </c>
    </row>
    <row r="9" spans="1:15" ht="12.75">
      <c r="A9" s="401" t="s">
        <v>7</v>
      </c>
      <c r="B9" s="257" t="s">
        <v>286</v>
      </c>
      <c r="C9" s="252">
        <f>4889</f>
        <v>4889</v>
      </c>
      <c r="D9" s="14">
        <v>140449</v>
      </c>
      <c r="E9" s="252"/>
      <c r="F9" s="252"/>
      <c r="G9" s="252"/>
      <c r="H9" s="474"/>
      <c r="I9" s="257" t="s">
        <v>259</v>
      </c>
      <c r="J9" s="252"/>
      <c r="K9" s="14"/>
      <c r="L9" s="252">
        <v>714070</v>
      </c>
      <c r="M9" s="252">
        <v>1034877</v>
      </c>
      <c r="N9" s="482"/>
      <c r="O9" s="474"/>
    </row>
    <row r="10" spans="1:15" ht="12.75" customHeight="1">
      <c r="A10" s="401" t="s">
        <v>9</v>
      </c>
      <c r="B10" s="257" t="s">
        <v>344</v>
      </c>
      <c r="C10" s="252">
        <f>51+2500+3474+13400+720+200+1000+292</f>
        <v>21637</v>
      </c>
      <c r="D10" s="14">
        <f>10000+29866</f>
        <v>39866</v>
      </c>
      <c r="E10" s="252"/>
      <c r="F10" s="252"/>
      <c r="G10" s="252"/>
      <c r="H10" s="474"/>
      <c r="I10" s="257" t="s">
        <v>48</v>
      </c>
      <c r="J10" s="252"/>
      <c r="K10" s="14">
        <v>2100</v>
      </c>
      <c r="L10" s="252">
        <v>187203</v>
      </c>
      <c r="M10" s="252">
        <v>187203</v>
      </c>
      <c r="N10" s="482">
        <v>91701</v>
      </c>
      <c r="O10" s="474">
        <f>N10/M10*100</f>
        <v>48.98479191038605</v>
      </c>
    </row>
    <row r="11" spans="1:15" ht="12.75" customHeight="1">
      <c r="A11" s="401" t="s">
        <v>10</v>
      </c>
      <c r="B11" s="48" t="s">
        <v>481</v>
      </c>
      <c r="C11" s="252"/>
      <c r="D11" s="14"/>
      <c r="E11" s="252"/>
      <c r="F11" s="252">
        <v>453</v>
      </c>
      <c r="G11" s="252">
        <v>453</v>
      </c>
      <c r="H11" s="474"/>
      <c r="I11" s="257"/>
      <c r="J11" s="252"/>
      <c r="K11" s="14"/>
      <c r="L11" s="252"/>
      <c r="M11" s="252"/>
      <c r="N11" s="482"/>
      <c r="O11" s="474"/>
    </row>
    <row r="12" spans="1:15" ht="12.75" customHeight="1">
      <c r="A12" s="401" t="s">
        <v>11</v>
      </c>
      <c r="B12" s="257" t="s">
        <v>387</v>
      </c>
      <c r="C12" s="252"/>
      <c r="D12" s="14"/>
      <c r="E12" s="252">
        <v>3460</v>
      </c>
      <c r="F12" s="252">
        <v>3460</v>
      </c>
      <c r="G12" s="252">
        <f>304867</f>
        <v>304867</v>
      </c>
      <c r="H12" s="474"/>
      <c r="I12" s="257"/>
      <c r="J12" s="252"/>
      <c r="K12" s="14"/>
      <c r="L12" s="252"/>
      <c r="M12" s="252"/>
      <c r="N12" s="482"/>
      <c r="O12" s="474"/>
    </row>
    <row r="13" spans="1:15" ht="12.75" customHeight="1">
      <c r="A13" s="401" t="s">
        <v>13</v>
      </c>
      <c r="B13" s="257" t="s">
        <v>252</v>
      </c>
      <c r="C13" s="252">
        <v>86136</v>
      </c>
      <c r="D13" s="14">
        <v>193658</v>
      </c>
      <c r="E13" s="252">
        <v>3500</v>
      </c>
      <c r="F13" s="252">
        <v>15873</v>
      </c>
      <c r="G13" s="252">
        <v>6668</v>
      </c>
      <c r="H13" s="474">
        <f>G13/F13*100</f>
        <v>42.00844200844201</v>
      </c>
      <c r="I13" s="257" t="s">
        <v>345</v>
      </c>
      <c r="J13" s="252"/>
      <c r="K13" s="14"/>
      <c r="L13" s="252"/>
      <c r="M13" s="252"/>
      <c r="N13" s="482"/>
      <c r="O13" s="474"/>
    </row>
    <row r="14" spans="1:15" ht="12.75">
      <c r="A14" s="401" t="s">
        <v>71</v>
      </c>
      <c r="B14" s="257" t="s">
        <v>346</v>
      </c>
      <c r="C14" s="252">
        <v>49207</v>
      </c>
      <c r="D14" s="14">
        <v>453674</v>
      </c>
      <c r="E14" s="252">
        <v>1612936</v>
      </c>
      <c r="F14" s="252">
        <v>1612936</v>
      </c>
      <c r="G14" s="252">
        <v>464938</v>
      </c>
      <c r="H14" s="474">
        <f>G14/F14*100</f>
        <v>28.825570264412224</v>
      </c>
      <c r="I14" s="257" t="s">
        <v>287</v>
      </c>
      <c r="J14" s="252"/>
      <c r="K14" s="14">
        <v>95583</v>
      </c>
      <c r="L14" s="252">
        <v>70000</v>
      </c>
      <c r="M14" s="252">
        <v>70000</v>
      </c>
      <c r="N14" s="482">
        <v>41493</v>
      </c>
      <c r="O14" s="474">
        <f>N14/M14*100</f>
        <v>59.27571428571429</v>
      </c>
    </row>
    <row r="15" spans="1:15" ht="12.75" customHeight="1">
      <c r="A15" s="401" t="s">
        <v>72</v>
      </c>
      <c r="B15" s="257" t="s">
        <v>79</v>
      </c>
      <c r="C15" s="252">
        <v>10528</v>
      </c>
      <c r="D15" s="14">
        <v>6682</v>
      </c>
      <c r="E15" s="252">
        <v>6500</v>
      </c>
      <c r="F15" s="252">
        <v>6500</v>
      </c>
      <c r="G15" s="252">
        <v>2773</v>
      </c>
      <c r="H15" s="474">
        <f>G15/F15*100</f>
        <v>42.66153846153846</v>
      </c>
      <c r="I15" s="257" t="s">
        <v>288</v>
      </c>
      <c r="J15" s="252">
        <f>10822+33197-210</f>
        <v>43809</v>
      </c>
      <c r="K15" s="14"/>
      <c r="L15" s="252">
        <v>0</v>
      </c>
      <c r="M15" s="252"/>
      <c r="N15" s="482"/>
      <c r="O15" s="474"/>
    </row>
    <row r="16" spans="1:15" ht="12.75" customHeight="1" thickBot="1">
      <c r="A16" s="401" t="s">
        <v>73</v>
      </c>
      <c r="B16" s="258" t="s">
        <v>289</v>
      </c>
      <c r="C16" s="259">
        <v>3939</v>
      </c>
      <c r="D16" s="17">
        <v>15628</v>
      </c>
      <c r="E16" s="259"/>
      <c r="F16" s="259"/>
      <c r="G16" s="259"/>
      <c r="H16" s="475"/>
      <c r="I16" s="408"/>
      <c r="J16" s="394"/>
      <c r="K16" s="271"/>
      <c r="L16" s="394"/>
      <c r="M16" s="394"/>
      <c r="N16" s="483"/>
      <c r="O16" s="484"/>
    </row>
    <row r="17" spans="1:15" ht="22.5" customHeight="1" thickBot="1">
      <c r="A17" s="401" t="s">
        <v>74</v>
      </c>
      <c r="B17" s="260" t="s">
        <v>260</v>
      </c>
      <c r="C17" s="261">
        <f>SUM(C4:C16)</f>
        <v>360730</v>
      </c>
      <c r="D17" s="270">
        <f>SUM(D4:D16)</f>
        <v>994083</v>
      </c>
      <c r="E17" s="261">
        <f>SUM(E4:E16)</f>
        <v>1722256</v>
      </c>
      <c r="F17" s="261">
        <f>SUM(F4:F16)</f>
        <v>1735082</v>
      </c>
      <c r="G17" s="261">
        <f>SUM(G4:G16)</f>
        <v>820566</v>
      </c>
      <c r="H17" s="476">
        <f>G17/F17*100</f>
        <v>47.29263516075897</v>
      </c>
      <c r="I17" s="260" t="s">
        <v>261</v>
      </c>
      <c r="J17" s="261">
        <f>SUM(J4:J15)</f>
        <v>271728</v>
      </c>
      <c r="K17" s="270">
        <f>SUM(K4:K15)</f>
        <v>1159488</v>
      </c>
      <c r="L17" s="261">
        <f>SUM(L4:L15)</f>
        <v>2722256</v>
      </c>
      <c r="M17" s="261">
        <f>SUM(M4:M15)</f>
        <v>3062544</v>
      </c>
      <c r="N17" s="485">
        <f>SUM(N4:N16)</f>
        <v>571843</v>
      </c>
      <c r="O17" s="479">
        <f>N17/M17*100</f>
        <v>18.672156220449406</v>
      </c>
    </row>
    <row r="18" spans="1:15" ht="22.5">
      <c r="A18" s="401" t="s">
        <v>75</v>
      </c>
      <c r="B18" s="262" t="s">
        <v>290</v>
      </c>
      <c r="C18" s="263">
        <v>205000</v>
      </c>
      <c r="D18" s="46">
        <v>213012</v>
      </c>
      <c r="E18" s="263">
        <v>1000000</v>
      </c>
      <c r="F18" s="263">
        <v>1327915</v>
      </c>
      <c r="G18" s="263">
        <v>81964</v>
      </c>
      <c r="H18" s="501">
        <f>G18/F18*100</f>
        <v>6.172383021503636</v>
      </c>
      <c r="I18" s="391" t="s">
        <v>263</v>
      </c>
      <c r="J18" s="393"/>
      <c r="K18" s="392"/>
      <c r="L18" s="393"/>
      <c r="M18" s="393"/>
      <c r="N18" s="486"/>
      <c r="O18" s="487"/>
    </row>
    <row r="19" spans="1:15" ht="12.75">
      <c r="A19" s="401" t="s">
        <v>76</v>
      </c>
      <c r="B19" s="257" t="s">
        <v>61</v>
      </c>
      <c r="C19" s="253"/>
      <c r="D19" s="274"/>
      <c r="E19" s="254"/>
      <c r="F19" s="254"/>
      <c r="G19" s="254"/>
      <c r="H19" s="474"/>
      <c r="I19" s="257" t="s">
        <v>264</v>
      </c>
      <c r="J19" s="252"/>
      <c r="K19" s="14"/>
      <c r="L19" s="252"/>
      <c r="M19" s="252"/>
      <c r="N19" s="488"/>
      <c r="O19" s="474"/>
    </row>
    <row r="20" spans="1:15" ht="12.75">
      <c r="A20" s="401" t="s">
        <v>77</v>
      </c>
      <c r="B20" s="257" t="s">
        <v>267</v>
      </c>
      <c r="C20" s="252"/>
      <c r="D20" s="14"/>
      <c r="E20" s="252"/>
      <c r="F20" s="252"/>
      <c r="G20" s="252"/>
      <c r="H20" s="474"/>
      <c r="I20" s="257" t="s">
        <v>266</v>
      </c>
      <c r="J20" s="252">
        <v>179859</v>
      </c>
      <c r="K20" s="14">
        <v>136096</v>
      </c>
      <c r="L20" s="252"/>
      <c r="M20" s="252"/>
      <c r="N20" s="482">
        <v>342393</v>
      </c>
      <c r="O20" s="474"/>
    </row>
    <row r="21" spans="1:15" ht="12.75" customHeight="1">
      <c r="A21" s="401" t="s">
        <v>78</v>
      </c>
      <c r="B21" s="257" t="s">
        <v>60</v>
      </c>
      <c r="C21" s="252"/>
      <c r="D21" s="14"/>
      <c r="E21" s="252"/>
      <c r="F21" s="252"/>
      <c r="G21" s="252"/>
      <c r="H21" s="474"/>
      <c r="I21" s="257" t="s">
        <v>268</v>
      </c>
      <c r="J21" s="253"/>
      <c r="K21" s="15"/>
      <c r="L21" s="252"/>
      <c r="M21" s="252"/>
      <c r="N21" s="482"/>
      <c r="O21" s="474"/>
    </row>
    <row r="22" spans="1:15" ht="12.75" customHeight="1">
      <c r="A22" s="401" t="s">
        <v>84</v>
      </c>
      <c r="B22" s="257" t="s">
        <v>291</v>
      </c>
      <c r="C22" s="252"/>
      <c r="D22" s="14"/>
      <c r="E22" s="252"/>
      <c r="F22" s="252"/>
      <c r="G22" s="252"/>
      <c r="H22" s="474"/>
      <c r="I22" s="257" t="s">
        <v>269</v>
      </c>
      <c r="J22" s="252"/>
      <c r="K22" s="14"/>
      <c r="L22" s="252"/>
      <c r="M22" s="252"/>
      <c r="N22" s="482"/>
      <c r="O22" s="474"/>
    </row>
    <row r="23" spans="1:15" ht="12.75" customHeight="1">
      <c r="A23" s="401" t="s">
        <v>85</v>
      </c>
      <c r="B23" s="257" t="s">
        <v>271</v>
      </c>
      <c r="C23" s="252"/>
      <c r="D23" s="14"/>
      <c r="E23" s="252"/>
      <c r="F23" s="252"/>
      <c r="G23" s="252"/>
      <c r="H23" s="474"/>
      <c r="I23" s="257" t="s">
        <v>270</v>
      </c>
      <c r="J23" s="252"/>
      <c r="K23" s="14"/>
      <c r="L23" s="252"/>
      <c r="M23" s="252"/>
      <c r="N23" s="482"/>
      <c r="O23" s="474"/>
    </row>
    <row r="24" spans="1:15" ht="12.75" customHeight="1">
      <c r="A24" s="401" t="s">
        <v>113</v>
      </c>
      <c r="B24" s="257" t="s">
        <v>272</v>
      </c>
      <c r="C24" s="252">
        <v>1056080</v>
      </c>
      <c r="D24" s="14"/>
      <c r="E24" s="252"/>
      <c r="F24" s="252"/>
      <c r="G24" s="252"/>
      <c r="H24" s="474"/>
      <c r="I24" s="257" t="s">
        <v>338</v>
      </c>
      <c r="J24" s="252"/>
      <c r="K24" s="14"/>
      <c r="L24" s="252"/>
      <c r="M24" s="252"/>
      <c r="N24" s="482"/>
      <c r="O24" s="474"/>
    </row>
    <row r="25" spans="1:15" ht="12.75" customHeight="1">
      <c r="A25" s="401" t="s">
        <v>114</v>
      </c>
      <c r="B25" s="257" t="s">
        <v>347</v>
      </c>
      <c r="C25" s="252"/>
      <c r="D25" s="14"/>
      <c r="E25" s="252"/>
      <c r="F25" s="252"/>
      <c r="G25" s="252"/>
      <c r="H25" s="474"/>
      <c r="I25" s="257" t="s">
        <v>273</v>
      </c>
      <c r="J25" s="252"/>
      <c r="K25" s="14"/>
      <c r="L25" s="252"/>
      <c r="M25" s="252"/>
      <c r="N25" s="482"/>
      <c r="O25" s="474"/>
    </row>
    <row r="26" spans="1:15" ht="12.75">
      <c r="A26" s="401" t="s">
        <v>115</v>
      </c>
      <c r="B26" s="257" t="s">
        <v>274</v>
      </c>
      <c r="C26" s="252"/>
      <c r="D26" s="14"/>
      <c r="E26" s="252"/>
      <c r="F26" s="252"/>
      <c r="G26" s="252"/>
      <c r="H26" s="474"/>
      <c r="I26" s="257"/>
      <c r="J26" s="252"/>
      <c r="K26" s="14"/>
      <c r="L26" s="252"/>
      <c r="M26" s="252"/>
      <c r="N26" s="482"/>
      <c r="O26" s="474"/>
    </row>
    <row r="27" spans="1:15" ht="12.75" customHeight="1" thickBot="1">
      <c r="A27" s="401" t="s">
        <v>117</v>
      </c>
      <c r="B27" s="258"/>
      <c r="C27" s="259"/>
      <c r="D27" s="17"/>
      <c r="E27" s="259"/>
      <c r="F27" s="259"/>
      <c r="G27" s="259"/>
      <c r="H27" s="475"/>
      <c r="I27" s="258"/>
      <c r="J27" s="259"/>
      <c r="K27" s="17"/>
      <c r="L27" s="259"/>
      <c r="M27" s="259"/>
      <c r="N27" s="489"/>
      <c r="O27" s="475"/>
    </row>
    <row r="28" spans="1:15" ht="22.5" customHeight="1" thickBot="1">
      <c r="A28" s="401" t="s">
        <v>119</v>
      </c>
      <c r="B28" s="260" t="s">
        <v>292</v>
      </c>
      <c r="C28" s="261">
        <f>SUM(C19:C27)</f>
        <v>1056080</v>
      </c>
      <c r="D28" s="270">
        <f>SUM(D19:D27)</f>
        <v>0</v>
      </c>
      <c r="E28" s="261">
        <f>SUM(E19:E27)</f>
        <v>0</v>
      </c>
      <c r="F28" s="261">
        <f>SUM(F19:F27)</f>
        <v>0</v>
      </c>
      <c r="G28" s="261">
        <f>SUM(G19:G27)</f>
        <v>0</v>
      </c>
      <c r="H28" s="477"/>
      <c r="I28" s="260" t="s">
        <v>293</v>
      </c>
      <c r="J28" s="261">
        <f>SUM(J18:J27)</f>
        <v>179859</v>
      </c>
      <c r="K28" s="270">
        <f>SUM(K18:K27)</f>
        <v>136096</v>
      </c>
      <c r="L28" s="261">
        <f>SUM(L18:L27)</f>
        <v>0</v>
      </c>
      <c r="M28" s="261">
        <f>SUM(M18:M27)</f>
        <v>0</v>
      </c>
      <c r="N28" s="485">
        <f>SUM(N18:N27)</f>
        <v>342393</v>
      </c>
      <c r="O28" s="477"/>
    </row>
    <row r="29" spans="1:15" ht="22.5" customHeight="1" thickBot="1">
      <c r="A29" s="401" t="s">
        <v>121</v>
      </c>
      <c r="B29" s="405" t="s">
        <v>294</v>
      </c>
      <c r="C29" s="266">
        <f>SUM(C28+C18+C17)</f>
        <v>1621810</v>
      </c>
      <c r="D29" s="272">
        <f>SUM(D28+D18+D17)</f>
        <v>1207095</v>
      </c>
      <c r="E29" s="266">
        <f>SUM(E28+E18+E17)</f>
        <v>2722256</v>
      </c>
      <c r="F29" s="266">
        <f>SUM(F28+F18+F17)</f>
        <v>3062997</v>
      </c>
      <c r="G29" s="266">
        <f>SUM(G28+G18+G17)</f>
        <v>902530</v>
      </c>
      <c r="H29" s="478">
        <f>G29/F29*100</f>
        <v>29.465585503348517</v>
      </c>
      <c r="I29" s="405" t="s">
        <v>295</v>
      </c>
      <c r="J29" s="266">
        <f>SUM(J28,J17)</f>
        <v>451587</v>
      </c>
      <c r="K29" s="272">
        <f>SUM(K28,K17)</f>
        <v>1295584</v>
      </c>
      <c r="L29" s="266">
        <f>SUM(L28,L17)</f>
        <v>2722256</v>
      </c>
      <c r="M29" s="266">
        <f>SUM(M28,M17)</f>
        <v>3062544</v>
      </c>
      <c r="N29" s="490">
        <f>SUM(N28,N17)</f>
        <v>914236</v>
      </c>
      <c r="O29" s="478">
        <f>N29/M29*100</f>
        <v>29.85217518507489</v>
      </c>
    </row>
    <row r="30" spans="1:15" ht="16.5" customHeight="1" thickBot="1">
      <c r="A30" s="401" t="s">
        <v>122</v>
      </c>
      <c r="B30" s="406" t="s">
        <v>279</v>
      </c>
      <c r="C30" s="261"/>
      <c r="D30" s="270">
        <f>SUM(K17-D17)</f>
        <v>165405</v>
      </c>
      <c r="E30" s="261">
        <f>SUM(L17-E17)</f>
        <v>1000000</v>
      </c>
      <c r="F30" s="261">
        <f>SUM(M17-F17)</f>
        <v>1327462</v>
      </c>
      <c r="G30" s="261"/>
      <c r="H30" s="479"/>
      <c r="I30" s="406" t="s">
        <v>280</v>
      </c>
      <c r="J30" s="261">
        <f>SUM(C17-J17)</f>
        <v>89002</v>
      </c>
      <c r="K30" s="270"/>
      <c r="L30" s="261"/>
      <c r="M30" s="261"/>
      <c r="N30" s="485">
        <f>SUM(G17-N17)</f>
        <v>248723</v>
      </c>
      <c r="O30" s="479"/>
    </row>
  </sheetData>
  <mergeCells count="1">
    <mergeCell ref="N1:O1"/>
  </mergeCells>
  <printOptions horizontalCentered="1" verticalCentered="1"/>
  <pageMargins left="0.39375" right="0.39375" top="0.7597222222222222" bottom="0.19652777777777777" header="0.39375" footer="0.5118055555555555"/>
  <pageSetup fitToHeight="1" fitToWidth="1" horizontalDpi="300" verticalDpi="300" orientation="landscape" paperSize="9" r:id="rId1"/>
  <headerFooter alignWithMargins="0">
    <oddHeader>&amp;L&amp;8 3.sz. tájékoztató tábla&amp;C&amp;"Arial CE,Félkövér"&amp;11Felhalmozási célú bevételek és kiadások mérlege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4:O20"/>
  <sheetViews>
    <sheetView zoomScale="75" zoomScaleNormal="75" workbookViewId="0" topLeftCell="A3">
      <pane ySplit="4" topLeftCell="BM7" activePane="bottomLeft" state="frozen"/>
      <selection pane="topLeft" activeCell="G22" sqref="G22"/>
      <selection pane="bottomLeft" activeCell="K6" sqref="K6"/>
    </sheetView>
  </sheetViews>
  <sheetFormatPr defaultColWidth="9.00390625" defaultRowHeight="12.75"/>
  <cols>
    <col min="1" max="1" width="37.875" style="0" customWidth="1"/>
    <col min="2" max="3" width="11.625" style="124" customWidth="1"/>
    <col min="4" max="4" width="11.75390625" style="124" customWidth="1"/>
    <col min="5" max="5" width="7.375" style="125" customWidth="1"/>
    <col min="6" max="7" width="11.875" style="124" customWidth="1"/>
    <col min="8" max="8" width="12.00390625" style="124" customWidth="1"/>
    <col min="9" max="9" width="6.375" style="125" customWidth="1"/>
    <col min="10" max="11" width="11.625" style="124" customWidth="1"/>
    <col min="12" max="12" width="10.875" style="124" bestFit="1" customWidth="1"/>
    <col min="13" max="13" width="6.875" style="125" customWidth="1"/>
  </cols>
  <sheetData>
    <row r="4" spans="12:13" ht="13.5" thickBot="1">
      <c r="L4" s="228"/>
      <c r="M4" s="143"/>
    </row>
    <row r="5" spans="1:13" ht="24.75" customHeight="1" thickBot="1">
      <c r="A5" s="422"/>
      <c r="B5" s="596" t="s">
        <v>36</v>
      </c>
      <c r="C5" s="597"/>
      <c r="D5" s="597"/>
      <c r="E5" s="598"/>
      <c r="F5" s="596" t="s">
        <v>37</v>
      </c>
      <c r="G5" s="597"/>
      <c r="H5" s="597"/>
      <c r="I5" s="598"/>
      <c r="J5" s="596" t="s">
        <v>38</v>
      </c>
      <c r="K5" s="597"/>
      <c r="L5" s="597"/>
      <c r="M5" s="598"/>
    </row>
    <row r="6" spans="1:13" s="414" customFormat="1" ht="33.75" customHeight="1" thickBot="1">
      <c r="A6" s="423" t="s">
        <v>39</v>
      </c>
      <c r="B6" s="424" t="s">
        <v>57</v>
      </c>
      <c r="C6" s="455" t="s">
        <v>493</v>
      </c>
      <c r="D6" s="410" t="s">
        <v>40</v>
      </c>
      <c r="E6" s="413" t="s">
        <v>41</v>
      </c>
      <c r="F6" s="409" t="s">
        <v>57</v>
      </c>
      <c r="G6" s="455" t="s">
        <v>493</v>
      </c>
      <c r="H6" s="410" t="s">
        <v>40</v>
      </c>
      <c r="I6" s="411" t="s">
        <v>41</v>
      </c>
      <c r="J6" s="412" t="s">
        <v>57</v>
      </c>
      <c r="K6" s="455" t="s">
        <v>493</v>
      </c>
      <c r="L6" s="410" t="s">
        <v>40</v>
      </c>
      <c r="M6" s="411" t="s">
        <v>41</v>
      </c>
    </row>
    <row r="7" spans="1:13" ht="21" customHeight="1">
      <c r="A7" s="415" t="s">
        <v>479</v>
      </c>
      <c r="B7" s="89">
        <v>56135</v>
      </c>
      <c r="C7" s="30">
        <v>58188</v>
      </c>
      <c r="D7" s="30">
        <v>22737</v>
      </c>
      <c r="E7" s="138">
        <f aca="true" t="shared" si="0" ref="E7:E15">D7/C7*100</f>
        <v>39.075067024128685</v>
      </c>
      <c r="F7" s="425">
        <v>56135</v>
      </c>
      <c r="G7" s="426">
        <v>58188</v>
      </c>
      <c r="H7" s="426">
        <v>23456</v>
      </c>
      <c r="I7" s="427">
        <f aca="true" t="shared" si="1" ref="I7:I17">H7/G7*100</f>
        <v>40.3107169863202</v>
      </c>
      <c r="J7" s="139">
        <v>31440</v>
      </c>
      <c r="K7" s="30">
        <v>31440</v>
      </c>
      <c r="L7" s="30">
        <v>15048</v>
      </c>
      <c r="M7" s="84">
        <f>L7/K7*100</f>
        <v>47.862595419847324</v>
      </c>
    </row>
    <row r="8" spans="1:15" ht="21" customHeight="1">
      <c r="A8" s="416" t="s">
        <v>8</v>
      </c>
      <c r="B8" s="90">
        <v>65519</v>
      </c>
      <c r="C8" s="21">
        <v>75722</v>
      </c>
      <c r="D8" s="21">
        <v>60406</v>
      </c>
      <c r="E8" s="138">
        <f t="shared" si="0"/>
        <v>79.77338157998997</v>
      </c>
      <c r="F8" s="90">
        <v>65519</v>
      </c>
      <c r="G8" s="21">
        <v>75722</v>
      </c>
      <c r="H8" s="21">
        <v>65907</v>
      </c>
      <c r="I8" s="84">
        <f t="shared" si="1"/>
        <v>87.03811309791078</v>
      </c>
      <c r="J8" s="140">
        <v>32955</v>
      </c>
      <c r="K8" s="21">
        <v>33222</v>
      </c>
      <c r="L8" s="21">
        <v>16546</v>
      </c>
      <c r="M8" s="84">
        <f>L8/K8*100</f>
        <v>49.80434651736801</v>
      </c>
      <c r="O8" s="189"/>
    </row>
    <row r="9" spans="1:13" ht="21" customHeight="1">
      <c r="A9" s="416" t="s">
        <v>12</v>
      </c>
      <c r="B9" s="90">
        <v>130000</v>
      </c>
      <c r="C9" s="21">
        <v>157363</v>
      </c>
      <c r="D9" s="21">
        <v>69622</v>
      </c>
      <c r="E9" s="138">
        <f t="shared" si="0"/>
        <v>44.242928769787056</v>
      </c>
      <c r="F9" s="90">
        <v>130000</v>
      </c>
      <c r="G9" s="21">
        <v>157363</v>
      </c>
      <c r="H9" s="21">
        <v>67527</v>
      </c>
      <c r="I9" s="84">
        <f t="shared" si="1"/>
        <v>42.911612005363395</v>
      </c>
      <c r="J9" s="140">
        <v>64377</v>
      </c>
      <c r="K9" s="21">
        <v>69377</v>
      </c>
      <c r="L9" s="21">
        <v>27147</v>
      </c>
      <c r="M9" s="84">
        <f>L9/K9*100</f>
        <v>39.12968274788475</v>
      </c>
    </row>
    <row r="10" spans="1:13" ht="21" customHeight="1">
      <c r="A10" s="417" t="s">
        <v>15</v>
      </c>
      <c r="B10" s="90">
        <v>231427</v>
      </c>
      <c r="C10" s="21">
        <v>236748</v>
      </c>
      <c r="D10" s="21">
        <v>111723</v>
      </c>
      <c r="E10" s="138">
        <f t="shared" si="0"/>
        <v>47.19068376501597</v>
      </c>
      <c r="F10" s="90">
        <v>231427</v>
      </c>
      <c r="G10" s="21">
        <v>236748</v>
      </c>
      <c r="H10" s="21">
        <v>113861</v>
      </c>
      <c r="I10" s="84">
        <f t="shared" si="1"/>
        <v>48.09375369591295</v>
      </c>
      <c r="J10" s="140">
        <v>156998</v>
      </c>
      <c r="K10" s="21">
        <v>158572</v>
      </c>
      <c r="L10" s="21">
        <v>79018</v>
      </c>
      <c r="M10" s="84">
        <f>L10/K10*100</f>
        <v>49.83099160003027</v>
      </c>
    </row>
    <row r="11" spans="1:13" ht="21" customHeight="1">
      <c r="A11" s="417" t="s">
        <v>17</v>
      </c>
      <c r="B11" s="90">
        <v>323436</v>
      </c>
      <c r="C11" s="21">
        <v>327794</v>
      </c>
      <c r="D11" s="21">
        <v>155837</v>
      </c>
      <c r="E11" s="138">
        <f t="shared" si="0"/>
        <v>47.54113864195196</v>
      </c>
      <c r="F11" s="90">
        <v>323436</v>
      </c>
      <c r="G11" s="21">
        <v>327794</v>
      </c>
      <c r="H11" s="21">
        <v>154845</v>
      </c>
      <c r="I11" s="84">
        <f t="shared" si="1"/>
        <v>47.238509551730665</v>
      </c>
      <c r="J11" s="140">
        <v>195655</v>
      </c>
      <c r="K11" s="21">
        <v>195655</v>
      </c>
      <c r="L11" s="21">
        <v>99088</v>
      </c>
      <c r="M11" s="84">
        <f aca="true" t="shared" si="2" ref="M11:M17">L11/K11*100</f>
        <v>50.644246249776394</v>
      </c>
    </row>
    <row r="12" spans="1:13" ht="21" customHeight="1" thickBot="1">
      <c r="A12" s="417" t="s">
        <v>375</v>
      </c>
      <c r="B12" s="90">
        <v>66127</v>
      </c>
      <c r="C12" s="21">
        <v>66577</v>
      </c>
      <c r="D12" s="21">
        <v>27901</v>
      </c>
      <c r="E12" s="138">
        <f t="shared" si="0"/>
        <v>41.90786607987744</v>
      </c>
      <c r="F12" s="428">
        <v>66127</v>
      </c>
      <c r="G12" s="429">
        <v>66577</v>
      </c>
      <c r="H12" s="429">
        <v>20660</v>
      </c>
      <c r="I12" s="430">
        <f t="shared" si="1"/>
        <v>31.03173768718927</v>
      </c>
      <c r="J12" s="140">
        <v>9314</v>
      </c>
      <c r="K12" s="21">
        <v>9314</v>
      </c>
      <c r="L12" s="21">
        <v>6564</v>
      </c>
      <c r="M12" s="84">
        <f t="shared" si="2"/>
        <v>70.4745544341851</v>
      </c>
    </row>
    <row r="13" spans="1:13" ht="24.75" customHeight="1" thickBot="1">
      <c r="A13" s="87" t="s">
        <v>45</v>
      </c>
      <c r="B13" s="26">
        <f>SUM(B7:B12)</f>
        <v>872644</v>
      </c>
      <c r="C13" s="26">
        <f>SUM(C7:C12)</f>
        <v>922392</v>
      </c>
      <c r="D13" s="26">
        <f>SUM(D7:D12)</f>
        <v>448226</v>
      </c>
      <c r="E13" s="421">
        <f t="shared" si="0"/>
        <v>48.5938733206706</v>
      </c>
      <c r="F13" s="29">
        <f>SUM(F7:F12)</f>
        <v>872644</v>
      </c>
      <c r="G13" s="26">
        <f>SUM(G7:G12)</f>
        <v>922392</v>
      </c>
      <c r="H13" s="26">
        <f>SUM(H7:H12)</f>
        <v>446256</v>
      </c>
      <c r="I13" s="88">
        <f t="shared" si="1"/>
        <v>48.38029818125049</v>
      </c>
      <c r="J13" s="141">
        <f>SUM(J7:J12)</f>
        <v>490739</v>
      </c>
      <c r="K13" s="26">
        <f>SUM(K7:K12)</f>
        <v>497580</v>
      </c>
      <c r="L13" s="26">
        <f>SUM(L7:L12)</f>
        <v>243411</v>
      </c>
      <c r="M13" s="88">
        <f t="shared" si="2"/>
        <v>48.91896780417219</v>
      </c>
    </row>
    <row r="14" spans="1:13" ht="21" customHeight="1">
      <c r="A14" s="418" t="s">
        <v>14</v>
      </c>
      <c r="B14" s="90">
        <v>760535</v>
      </c>
      <c r="C14" s="21">
        <v>788935</v>
      </c>
      <c r="D14" s="21">
        <v>321318</v>
      </c>
      <c r="E14" s="138">
        <f t="shared" si="0"/>
        <v>40.72807011984511</v>
      </c>
      <c r="F14" s="431">
        <v>760535</v>
      </c>
      <c r="G14" s="432">
        <v>788935</v>
      </c>
      <c r="H14" s="432">
        <v>320005</v>
      </c>
      <c r="I14" s="427">
        <f t="shared" si="1"/>
        <v>40.561643227895836</v>
      </c>
      <c r="J14" s="140">
        <v>220146</v>
      </c>
      <c r="K14" s="21">
        <v>221896</v>
      </c>
      <c r="L14" s="21">
        <v>116048</v>
      </c>
      <c r="M14" s="84">
        <f t="shared" si="2"/>
        <v>52.298374013051166</v>
      </c>
    </row>
    <row r="15" spans="1:13" ht="21" customHeight="1" thickBot="1">
      <c r="A15" s="418" t="s">
        <v>326</v>
      </c>
      <c r="B15" s="90">
        <v>4257778</v>
      </c>
      <c r="C15" s="21">
        <f>5015596-474269+148636</f>
        <v>4689963</v>
      </c>
      <c r="D15" s="21">
        <v>2893657</v>
      </c>
      <c r="E15" s="138">
        <f t="shared" si="0"/>
        <v>61.69893024742412</v>
      </c>
      <c r="F15" s="428">
        <v>4257778</v>
      </c>
      <c r="G15" s="429">
        <f>5015596-474269+148636</f>
        <v>4689963</v>
      </c>
      <c r="H15" s="429">
        <v>2772318</v>
      </c>
      <c r="I15" s="430">
        <f t="shared" si="1"/>
        <v>59.11172433556512</v>
      </c>
      <c r="J15" s="140">
        <v>351974</v>
      </c>
      <c r="K15" s="21">
        <v>352974</v>
      </c>
      <c r="L15" s="21">
        <v>114044</v>
      </c>
      <c r="M15" s="84">
        <f t="shared" si="2"/>
        <v>32.309461886711205</v>
      </c>
    </row>
    <row r="16" spans="1:13" ht="21" customHeight="1" thickBot="1">
      <c r="A16" s="87" t="s">
        <v>45</v>
      </c>
      <c r="B16" s="67">
        <f>SUM(B14:B15)</f>
        <v>5018313</v>
      </c>
      <c r="C16" s="67">
        <f>SUM(C14:C15)</f>
        <v>5478898</v>
      </c>
      <c r="D16" s="67">
        <f>SUM(D14:D15)</f>
        <v>3214975</v>
      </c>
      <c r="E16" s="420">
        <f>D16/C16*100</f>
        <v>58.67922710004822</v>
      </c>
      <c r="F16" s="145">
        <f>SUM(F14:F15)</f>
        <v>5018313</v>
      </c>
      <c r="G16" s="67">
        <f>SUM(G14:G15)</f>
        <v>5478898</v>
      </c>
      <c r="H16" s="67">
        <f>SUM(H14:H15)</f>
        <v>3092323</v>
      </c>
      <c r="I16" s="419">
        <f t="shared" si="1"/>
        <v>56.440601741445086</v>
      </c>
      <c r="J16" s="142">
        <f>SUM(J14:J15)</f>
        <v>572120</v>
      </c>
      <c r="K16" s="67">
        <f>SUM(K14:K15)</f>
        <v>574870</v>
      </c>
      <c r="L16" s="67">
        <f>SUM(L14:L15)</f>
        <v>230092</v>
      </c>
      <c r="M16" s="419">
        <f t="shared" si="2"/>
        <v>40.02504914154505</v>
      </c>
    </row>
    <row r="17" spans="1:13" ht="24.75" customHeight="1" thickBot="1">
      <c r="A17" s="87" t="s">
        <v>81</v>
      </c>
      <c r="B17" s="26">
        <f>B13+B16</f>
        <v>5890957</v>
      </c>
      <c r="C17" s="26">
        <f>C13+C16</f>
        <v>6401290</v>
      </c>
      <c r="D17" s="26">
        <f>D13+D16</f>
        <v>3663201</v>
      </c>
      <c r="E17" s="421">
        <f>D17/C17*100</f>
        <v>57.22598101320203</v>
      </c>
      <c r="F17" s="29">
        <f>F13+F16</f>
        <v>5890957</v>
      </c>
      <c r="G17" s="26">
        <f>G13+G16</f>
        <v>6401290</v>
      </c>
      <c r="H17" s="26">
        <f>H13+H16</f>
        <v>3538579</v>
      </c>
      <c r="I17" s="88">
        <f t="shared" si="1"/>
        <v>55.27915467038675</v>
      </c>
      <c r="J17" s="141">
        <f>J13+J16</f>
        <v>1062859</v>
      </c>
      <c r="K17" s="26">
        <f>K13+K16</f>
        <v>1072450</v>
      </c>
      <c r="L17" s="26">
        <f>L13+L16</f>
        <v>473503</v>
      </c>
      <c r="M17" s="88">
        <f t="shared" si="2"/>
        <v>44.1515222154879</v>
      </c>
    </row>
    <row r="18" spans="1:8" ht="15.75">
      <c r="A18" s="22"/>
      <c r="D18" s="23"/>
      <c r="H18" s="23"/>
    </row>
    <row r="19" spans="4:8" ht="12.75">
      <c r="D19" s="126"/>
      <c r="H19" s="126"/>
    </row>
    <row r="20" ht="12.75">
      <c r="D20" s="126"/>
    </row>
  </sheetData>
  <mergeCells count="3">
    <mergeCell ref="B5:E5"/>
    <mergeCell ref="F5:I5"/>
    <mergeCell ref="J5:M5"/>
  </mergeCells>
  <printOptions horizontalCentered="1"/>
  <pageMargins left="0.35" right="0.34" top="0.78" bottom="0.55" header="0.38" footer="0.37"/>
  <pageSetup horizontalDpi="600" verticalDpi="600" orientation="landscape" paperSize="9" scale="85" r:id="rId1"/>
  <headerFooter alignWithMargins="0">
    <oddHeader>&amp;L&amp;9 4.sz. tájékoztató tábla&amp;C&amp;"Arial CE,Félkövér"&amp;12
Önállóan működő és gazdálkodó költségvetési szervek 2013. I. félévi bevételei és kiadásai részletezése
&amp;R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K20"/>
  <sheetViews>
    <sheetView tabSelected="1" workbookViewId="0" topLeftCell="A1">
      <selection activeCell="F12" sqref="F12"/>
    </sheetView>
  </sheetViews>
  <sheetFormatPr defaultColWidth="9.00390625" defaultRowHeight="12.75"/>
  <cols>
    <col min="1" max="1" width="3.875" style="27" customWidth="1"/>
    <col min="2" max="2" width="35.75390625" style="27" bestFit="1" customWidth="1"/>
    <col min="3" max="3" width="19.375" style="27" bestFit="1" customWidth="1"/>
    <col min="4" max="4" width="8.25390625" style="27" customWidth="1"/>
    <col min="5" max="5" width="10.25390625" style="27" customWidth="1"/>
    <col min="6" max="6" width="12.125" style="32" customWidth="1"/>
    <col min="7" max="7" width="11.00390625" style="457" customWidth="1"/>
    <col min="8" max="8" width="13.875" style="27" bestFit="1" customWidth="1"/>
    <col min="9" max="9" width="11.375" style="27" bestFit="1" customWidth="1"/>
    <col min="10" max="10" width="7.125" style="27" customWidth="1"/>
    <col min="11" max="11" width="11.25390625" style="27" customWidth="1"/>
    <col min="12" max="16384" width="9.125" style="27" customWidth="1"/>
  </cols>
  <sheetData>
    <row r="2" spans="8:9" ht="12.75">
      <c r="H2" s="28"/>
      <c r="I2" s="32"/>
    </row>
    <row r="3" spans="1:11" s="226" customFormat="1" ht="15.75">
      <c r="A3" s="591" t="s">
        <v>384</v>
      </c>
      <c r="B3" s="591"/>
      <c r="C3" s="591"/>
      <c r="D3" s="591"/>
      <c r="E3" s="591"/>
      <c r="F3" s="591"/>
      <c r="G3" s="591"/>
      <c r="H3" s="591"/>
      <c r="I3" s="227"/>
      <c r="J3" s="227"/>
      <c r="K3" s="227"/>
    </row>
    <row r="4" spans="2:11" s="224" customFormat="1" ht="12.75">
      <c r="B4" s="225"/>
      <c r="C4" s="225"/>
      <c r="D4" s="225"/>
      <c r="E4" s="225"/>
      <c r="F4" s="331"/>
      <c r="G4" s="458"/>
      <c r="H4" s="225"/>
      <c r="I4" s="225"/>
      <c r="J4" s="225"/>
      <c r="K4" s="225"/>
    </row>
    <row r="5" spans="2:11" s="224" customFormat="1" ht="12.75">
      <c r="B5" s="225"/>
      <c r="C5" s="225"/>
      <c r="D5" s="225"/>
      <c r="E5" s="225"/>
      <c r="F5" s="331"/>
      <c r="G5" s="458"/>
      <c r="H5" s="225"/>
      <c r="I5" s="225"/>
      <c r="J5" s="225"/>
      <c r="K5" s="225"/>
    </row>
    <row r="6" spans="2:11" s="224" customFormat="1" ht="12.75">
      <c r="B6" s="225"/>
      <c r="C6" s="225"/>
      <c r="D6" s="225"/>
      <c r="E6" s="225"/>
      <c r="F6" s="331"/>
      <c r="G6" s="458"/>
      <c r="H6" s="225"/>
      <c r="I6" s="225"/>
      <c r="J6" s="225"/>
      <c r="K6" s="225"/>
    </row>
    <row r="8" ht="13.5" thickBot="1"/>
    <row r="9" spans="1:7" s="318" customFormat="1" ht="13.5" thickBot="1">
      <c r="A9" s="317"/>
      <c r="B9" s="312" t="s">
        <v>62</v>
      </c>
      <c r="C9" s="313" t="s">
        <v>63</v>
      </c>
      <c r="D9" s="313" t="s">
        <v>64</v>
      </c>
      <c r="E9" s="313" t="s">
        <v>65</v>
      </c>
      <c r="F9" s="449" t="s">
        <v>66</v>
      </c>
      <c r="G9" s="459" t="s">
        <v>67</v>
      </c>
    </row>
    <row r="10" spans="1:7" s="436" customFormat="1" ht="39" thickBot="1">
      <c r="A10" s="433"/>
      <c r="B10" s="434" t="s">
        <v>442</v>
      </c>
      <c r="C10" s="435" t="s">
        <v>443</v>
      </c>
      <c r="D10" s="296" t="s">
        <v>380</v>
      </c>
      <c r="E10" s="456" t="s">
        <v>493</v>
      </c>
      <c r="F10" s="348" t="s">
        <v>440</v>
      </c>
      <c r="G10" s="460" t="s">
        <v>41</v>
      </c>
    </row>
    <row r="11" spans="1:7" ht="12.75">
      <c r="A11" s="319" t="s">
        <v>2</v>
      </c>
      <c r="B11" s="322" t="s">
        <v>308</v>
      </c>
      <c r="C11" s="323" t="s">
        <v>444</v>
      </c>
      <c r="D11" s="324">
        <v>1000</v>
      </c>
      <c r="E11" s="324">
        <v>1000</v>
      </c>
      <c r="F11" s="191">
        <v>1839</v>
      </c>
      <c r="G11" s="461">
        <f>F11/E11*100</f>
        <v>183.9</v>
      </c>
    </row>
    <row r="12" spans="1:7" ht="12.75">
      <c r="A12" s="320" t="s">
        <v>3</v>
      </c>
      <c r="B12" s="325" t="s">
        <v>311</v>
      </c>
      <c r="C12" s="314" t="s">
        <v>445</v>
      </c>
      <c r="D12" s="321">
        <f>9000+28861</f>
        <v>37861</v>
      </c>
      <c r="E12" s="321">
        <v>37861</v>
      </c>
      <c r="F12" s="159">
        <v>34141</v>
      </c>
      <c r="G12" s="462">
        <f aca="true" t="shared" si="0" ref="G12:G19">F12/E12*100</f>
        <v>90.17458598557883</v>
      </c>
    </row>
    <row r="13" spans="1:7" ht="12.75">
      <c r="A13" s="320" t="s">
        <v>4</v>
      </c>
      <c r="B13" s="325" t="s">
        <v>312</v>
      </c>
      <c r="C13" s="314" t="s">
        <v>446</v>
      </c>
      <c r="D13" s="321">
        <v>100</v>
      </c>
      <c r="E13" s="321">
        <v>100</v>
      </c>
      <c r="F13" s="159">
        <v>250</v>
      </c>
      <c r="G13" s="462">
        <f t="shared" si="0"/>
        <v>250</v>
      </c>
    </row>
    <row r="14" spans="1:7" ht="24">
      <c r="A14" s="320" t="s">
        <v>5</v>
      </c>
      <c r="B14" s="325" t="s">
        <v>447</v>
      </c>
      <c r="C14" s="315" t="s">
        <v>448</v>
      </c>
      <c r="D14" s="321">
        <f>15000-13000</f>
        <v>2000</v>
      </c>
      <c r="E14" s="321">
        <v>22000</v>
      </c>
      <c r="F14" s="159">
        <v>24980</v>
      </c>
      <c r="G14" s="462">
        <f t="shared" si="0"/>
        <v>113.54545454545455</v>
      </c>
    </row>
    <row r="15" spans="1:7" ht="12.75">
      <c r="A15" s="320" t="s">
        <v>6</v>
      </c>
      <c r="B15" s="325" t="s">
        <v>313</v>
      </c>
      <c r="C15" s="314" t="s">
        <v>446</v>
      </c>
      <c r="D15" s="321">
        <v>500</v>
      </c>
      <c r="E15" s="321">
        <v>500</v>
      </c>
      <c r="F15" s="159"/>
      <c r="G15" s="462">
        <f t="shared" si="0"/>
        <v>0</v>
      </c>
    </row>
    <row r="16" spans="1:7" ht="24">
      <c r="A16" s="320" t="s">
        <v>7</v>
      </c>
      <c r="B16" s="325" t="s">
        <v>449</v>
      </c>
      <c r="C16" s="315" t="s">
        <v>450</v>
      </c>
      <c r="D16" s="321">
        <f>292000-6000-29600</f>
        <v>256400</v>
      </c>
      <c r="E16" s="321">
        <v>256400</v>
      </c>
      <c r="F16" s="159">
        <v>69335</v>
      </c>
      <c r="G16" s="462">
        <f t="shared" si="0"/>
        <v>27.04173166926677</v>
      </c>
    </row>
    <row r="17" spans="1:7" ht="12.75">
      <c r="A17" s="320" t="s">
        <v>9</v>
      </c>
      <c r="B17" s="325" t="s">
        <v>451</v>
      </c>
      <c r="C17" s="315" t="s">
        <v>452</v>
      </c>
      <c r="D17" s="321">
        <v>500</v>
      </c>
      <c r="E17" s="321">
        <v>500</v>
      </c>
      <c r="F17" s="159">
        <v>350</v>
      </c>
      <c r="G17" s="462">
        <f t="shared" si="0"/>
        <v>70</v>
      </c>
    </row>
    <row r="18" spans="1:7" ht="24">
      <c r="A18" s="320" t="s">
        <v>10</v>
      </c>
      <c r="B18" s="325" t="s">
        <v>453</v>
      </c>
      <c r="C18" s="315" t="s">
        <v>454</v>
      </c>
      <c r="D18" s="321">
        <v>2500</v>
      </c>
      <c r="E18" s="321">
        <v>2500</v>
      </c>
      <c r="F18" s="159">
        <v>100</v>
      </c>
      <c r="G18" s="462">
        <f t="shared" si="0"/>
        <v>4</v>
      </c>
    </row>
    <row r="19" spans="1:7" ht="24.75" thickBot="1">
      <c r="A19" s="320" t="s">
        <v>11</v>
      </c>
      <c r="B19" s="326" t="s">
        <v>455</v>
      </c>
      <c r="C19" s="316" t="s">
        <v>456</v>
      </c>
      <c r="D19" s="327">
        <v>1800</v>
      </c>
      <c r="E19" s="327">
        <v>1800</v>
      </c>
      <c r="F19" s="194">
        <v>850</v>
      </c>
      <c r="G19" s="463">
        <f t="shared" si="0"/>
        <v>47.22222222222222</v>
      </c>
    </row>
    <row r="20" spans="1:7" ht="13.5" thickBot="1">
      <c r="A20" s="320" t="s">
        <v>13</v>
      </c>
      <c r="B20" s="328" t="s">
        <v>45</v>
      </c>
      <c r="C20" s="329"/>
      <c r="D20" s="330">
        <f>SUM(D11:D19)</f>
        <v>302661</v>
      </c>
      <c r="E20" s="330">
        <f>SUM(E11:E19)</f>
        <v>322661</v>
      </c>
      <c r="F20" s="330">
        <f>SUM(F11:F19)</f>
        <v>131845</v>
      </c>
      <c r="G20" s="471">
        <f>F20/D20*100</f>
        <v>43.56193893498006</v>
      </c>
    </row>
  </sheetData>
  <mergeCells count="1">
    <mergeCell ref="A3:H3"/>
  </mergeCells>
  <printOptions horizontalCentered="1"/>
  <pageMargins left="0.5905511811023623" right="0.1968503937007874" top="1.03" bottom="0.5905511811023623" header="0.31496062992125984" footer="0.31496062992125984"/>
  <pageSetup horizontalDpi="600" verticalDpi="600" orientation="landscape" paperSize="9" scale="95" r:id="rId1"/>
  <headerFooter alignWithMargins="0">
    <oddHeader>&amp;L&amp;8 5.sz. tájékoztató tábla&amp;C&amp;"Arial CE,Félkövér"&amp;11
&amp;R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99"/>
  <sheetViews>
    <sheetView workbookViewId="0" topLeftCell="A1">
      <selection activeCell="C5" sqref="C5"/>
    </sheetView>
  </sheetViews>
  <sheetFormatPr defaultColWidth="9.00390625" defaultRowHeight="12.75"/>
  <cols>
    <col min="1" max="1" width="65.25390625" style="0" bestFit="1" customWidth="1"/>
    <col min="2" max="2" width="9.75390625" style="0" bestFit="1" customWidth="1"/>
    <col min="3" max="3" width="11.00390625" style="0" customWidth="1"/>
    <col min="4" max="4" width="10.75390625" style="0" customWidth="1"/>
    <col min="5" max="5" width="6.375" style="354" customWidth="1"/>
  </cols>
  <sheetData>
    <row r="1" spans="1:4" ht="15">
      <c r="A1" s="592" t="s">
        <v>314</v>
      </c>
      <c r="B1" s="592"/>
      <c r="C1" s="332"/>
      <c r="D1" s="79"/>
    </row>
    <row r="2" spans="1:4" ht="12.75">
      <c r="A2" s="75"/>
      <c r="B2" s="335"/>
      <c r="C2" s="335"/>
      <c r="D2" s="335"/>
    </row>
    <row r="3" spans="1:4" ht="13.5" thickBot="1">
      <c r="A3" s="593" t="s">
        <v>82</v>
      </c>
      <c r="B3" s="594"/>
      <c r="C3" s="594"/>
      <c r="D3" s="594"/>
    </row>
    <row r="4" spans="1:5" ht="13.5" thickBot="1">
      <c r="A4" s="294" t="s">
        <v>62</v>
      </c>
      <c r="B4" s="295" t="s">
        <v>63</v>
      </c>
      <c r="C4" s="295" t="s">
        <v>64</v>
      </c>
      <c r="D4" s="346" t="s">
        <v>65</v>
      </c>
      <c r="E4" s="355" t="s">
        <v>66</v>
      </c>
    </row>
    <row r="5" spans="1:5" ht="26.25" thickBot="1">
      <c r="A5" s="117" t="s">
        <v>463</v>
      </c>
      <c r="B5" s="118" t="s">
        <v>380</v>
      </c>
      <c r="C5" s="118" t="s">
        <v>493</v>
      </c>
      <c r="D5" s="361" t="s">
        <v>440</v>
      </c>
      <c r="E5" s="362" t="s">
        <v>41</v>
      </c>
    </row>
    <row r="6" spans="1:5" ht="12.75">
      <c r="A6" s="306" t="s">
        <v>58</v>
      </c>
      <c r="B6" s="307">
        <v>10000</v>
      </c>
      <c r="C6" s="307">
        <v>10000</v>
      </c>
      <c r="D6" s="349">
        <f>48+4374+337</f>
        <v>4759</v>
      </c>
      <c r="E6" s="356">
        <f>D6/C6*100</f>
        <v>47.589999999999996</v>
      </c>
    </row>
    <row r="7" spans="1:5" ht="12.75">
      <c r="A7" s="121" t="s">
        <v>388</v>
      </c>
      <c r="B7" s="305">
        <v>24333</v>
      </c>
      <c r="C7" s="305">
        <v>24333</v>
      </c>
      <c r="D7" s="344">
        <v>228</v>
      </c>
      <c r="E7" s="357">
        <f>D7/C7*100</f>
        <v>0.9369991369744791</v>
      </c>
    </row>
    <row r="8" spans="1:5" ht="12.75">
      <c r="A8" s="121" t="s">
        <v>80</v>
      </c>
      <c r="B8" s="305">
        <v>71824</v>
      </c>
      <c r="C8" s="305">
        <v>71824</v>
      </c>
      <c r="D8" s="344">
        <v>75019</v>
      </c>
      <c r="E8" s="357">
        <f>D8/C8*100</f>
        <v>104.44837380262865</v>
      </c>
    </row>
    <row r="9" spans="1:5" ht="12.75">
      <c r="A9" s="31" t="s">
        <v>389</v>
      </c>
      <c r="B9" s="305">
        <v>157715</v>
      </c>
      <c r="C9" s="305">
        <v>157715</v>
      </c>
      <c r="D9" s="344">
        <v>4255</v>
      </c>
      <c r="E9" s="357">
        <f>D9/C9*100</f>
        <v>2.6979044478965224</v>
      </c>
    </row>
    <row r="10" spans="1:5" ht="12.75">
      <c r="A10" s="31" t="s">
        <v>390</v>
      </c>
      <c r="B10" s="305">
        <f>175239-157715</f>
        <v>17524</v>
      </c>
      <c r="C10" s="305">
        <f>175239-157715</f>
        <v>17524</v>
      </c>
      <c r="D10" s="344">
        <v>0</v>
      </c>
      <c r="E10" s="357"/>
    </row>
    <row r="11" spans="1:5" ht="12.75">
      <c r="A11" s="31" t="s">
        <v>315</v>
      </c>
      <c r="B11" s="305">
        <v>285253</v>
      </c>
      <c r="C11" s="305">
        <v>285253</v>
      </c>
      <c r="D11" s="344">
        <v>175947</v>
      </c>
      <c r="E11" s="357">
        <f>D11/C11*100</f>
        <v>61.68103402944053</v>
      </c>
    </row>
    <row r="12" spans="1:5" ht="12.75">
      <c r="A12" s="31" t="s">
        <v>316</v>
      </c>
      <c r="B12" s="305">
        <v>50338</v>
      </c>
      <c r="C12" s="305">
        <v>50338</v>
      </c>
      <c r="D12" s="344">
        <v>81964</v>
      </c>
      <c r="E12" s="357">
        <f>D12/C12*100</f>
        <v>162.82728753625491</v>
      </c>
    </row>
    <row r="13" spans="1:5" ht="12.75">
      <c r="A13" s="31" t="s">
        <v>391</v>
      </c>
      <c r="B13" s="305">
        <v>182203</v>
      </c>
      <c r="C13" s="305">
        <v>182203</v>
      </c>
      <c r="D13" s="344">
        <v>0</v>
      </c>
      <c r="E13" s="357"/>
    </row>
    <row r="14" spans="1:5" ht="12.75">
      <c r="A14" s="31" t="s">
        <v>348</v>
      </c>
      <c r="B14" s="305">
        <v>32483</v>
      </c>
      <c r="C14" s="305">
        <v>32483</v>
      </c>
      <c r="D14" s="344">
        <v>81683</v>
      </c>
      <c r="E14" s="357">
        <f>D14/C14*100</f>
        <v>251.4638426253733</v>
      </c>
    </row>
    <row r="15" spans="1:5" ht="12.75">
      <c r="A15" s="31" t="s">
        <v>392</v>
      </c>
      <c r="B15" s="305">
        <v>2888</v>
      </c>
      <c r="C15" s="305">
        <v>2888</v>
      </c>
      <c r="D15" s="344">
        <v>0</v>
      </c>
      <c r="E15" s="357"/>
    </row>
    <row r="16" spans="1:5" ht="12.75">
      <c r="A16" s="31" t="s">
        <v>393</v>
      </c>
      <c r="B16" s="305">
        <v>572</v>
      </c>
      <c r="C16" s="305">
        <v>572</v>
      </c>
      <c r="D16" s="344">
        <v>0</v>
      </c>
      <c r="E16" s="357"/>
    </row>
    <row r="17" spans="1:5" ht="12.75">
      <c r="A17" s="31" t="s">
        <v>317</v>
      </c>
      <c r="B17" s="305">
        <v>108557</v>
      </c>
      <c r="C17" s="305">
        <v>108557</v>
      </c>
      <c r="D17" s="344">
        <v>0</v>
      </c>
      <c r="E17" s="357"/>
    </row>
    <row r="18" spans="1:5" ht="12.75">
      <c r="A18" s="121" t="s">
        <v>394</v>
      </c>
      <c r="B18" s="305">
        <v>149430</v>
      </c>
      <c r="C18" s="305">
        <v>149430</v>
      </c>
      <c r="D18" s="344">
        <v>2911</v>
      </c>
      <c r="E18" s="357">
        <f>D18/C18*100</f>
        <v>1.9480693301211267</v>
      </c>
    </row>
    <row r="19" spans="1:5" ht="12.75">
      <c r="A19" s="121" t="s">
        <v>395</v>
      </c>
      <c r="B19" s="305">
        <f>157295-149430</f>
        <v>7865</v>
      </c>
      <c r="C19" s="305">
        <f>157295-149430</f>
        <v>7865</v>
      </c>
      <c r="D19" s="344">
        <v>0</v>
      </c>
      <c r="E19" s="357"/>
    </row>
    <row r="20" spans="1:5" ht="25.5">
      <c r="A20" s="299" t="s">
        <v>396</v>
      </c>
      <c r="B20" s="120">
        <v>337866</v>
      </c>
      <c r="C20" s="120">
        <v>337866</v>
      </c>
      <c r="D20" s="344">
        <v>81618</v>
      </c>
      <c r="E20" s="357">
        <f>D20/C20*100</f>
        <v>24.15691427962565</v>
      </c>
    </row>
    <row r="21" spans="1:5" ht="12.75">
      <c r="A21" s="121" t="s">
        <v>397</v>
      </c>
      <c r="B21" s="120">
        <v>97222</v>
      </c>
      <c r="C21" s="120">
        <v>97222</v>
      </c>
      <c r="D21" s="344">
        <v>24306</v>
      </c>
      <c r="E21" s="357">
        <f>D21/C21*100</f>
        <v>25.000514286889796</v>
      </c>
    </row>
    <row r="22" spans="1:5" ht="12.75">
      <c r="A22" s="121" t="s">
        <v>398</v>
      </c>
      <c r="B22" s="120">
        <v>10000</v>
      </c>
      <c r="C22" s="120">
        <v>10000</v>
      </c>
      <c r="D22" s="344">
        <v>0</v>
      </c>
      <c r="E22" s="357"/>
    </row>
    <row r="23" spans="1:5" ht="12.75">
      <c r="A23" s="121" t="s">
        <v>399</v>
      </c>
      <c r="B23" s="120">
        <v>3500</v>
      </c>
      <c r="C23" s="120">
        <v>3500</v>
      </c>
      <c r="D23" s="344">
        <v>0</v>
      </c>
      <c r="E23" s="357"/>
    </row>
    <row r="24" spans="1:5" ht="25.5">
      <c r="A24" s="299" t="s">
        <v>400</v>
      </c>
      <c r="B24" s="120">
        <v>147177</v>
      </c>
      <c r="C24" s="120">
        <v>147177</v>
      </c>
      <c r="D24" s="344">
        <v>0</v>
      </c>
      <c r="E24" s="357"/>
    </row>
    <row r="25" spans="1:5" ht="12.75">
      <c r="A25" s="121" t="s">
        <v>401</v>
      </c>
      <c r="B25" s="120">
        <v>39673</v>
      </c>
      <c r="C25" s="120">
        <v>39673</v>
      </c>
      <c r="D25" s="344">
        <v>0</v>
      </c>
      <c r="E25" s="357"/>
    </row>
    <row r="26" spans="1:5" ht="12.75">
      <c r="A26" s="121" t="s">
        <v>402</v>
      </c>
      <c r="B26" s="120">
        <v>14834</v>
      </c>
      <c r="C26" s="120">
        <v>14834</v>
      </c>
      <c r="D26" s="344">
        <v>0</v>
      </c>
      <c r="E26" s="357"/>
    </row>
    <row r="27" spans="1:5" ht="25.5">
      <c r="A27" s="299" t="s">
        <v>403</v>
      </c>
      <c r="B27" s="120">
        <v>34991</v>
      </c>
      <c r="C27" s="120">
        <v>34991</v>
      </c>
      <c r="D27" s="344">
        <v>8748</v>
      </c>
      <c r="E27" s="357">
        <f>D27/C27*100</f>
        <v>25.000714469435</v>
      </c>
    </row>
    <row r="28" spans="1:5" ht="12.75">
      <c r="A28" s="121" t="s">
        <v>404</v>
      </c>
      <c r="B28" s="120">
        <v>18000</v>
      </c>
      <c r="C28" s="120">
        <v>18000</v>
      </c>
      <c r="D28" s="344">
        <v>0</v>
      </c>
      <c r="E28" s="357"/>
    </row>
    <row r="29" spans="1:5" ht="12.75">
      <c r="A29" s="121" t="s">
        <v>405</v>
      </c>
      <c r="B29" s="120">
        <v>60000</v>
      </c>
      <c r="C29" s="120">
        <v>60000</v>
      </c>
      <c r="D29" s="344">
        <v>0</v>
      </c>
      <c r="E29" s="357"/>
    </row>
    <row r="30" spans="1:5" ht="12.75">
      <c r="A30" s="121" t="s">
        <v>406</v>
      </c>
      <c r="B30" s="120">
        <v>15000</v>
      </c>
      <c r="C30" s="120">
        <v>15000</v>
      </c>
      <c r="D30" s="344">
        <f>3447+672</f>
        <v>4119</v>
      </c>
      <c r="E30" s="357"/>
    </row>
    <row r="31" spans="1:5" ht="12.75">
      <c r="A31" s="121" t="s">
        <v>407</v>
      </c>
      <c r="B31" s="120">
        <v>36578</v>
      </c>
      <c r="C31" s="120">
        <v>36578</v>
      </c>
      <c r="D31" s="344">
        <v>8606</v>
      </c>
      <c r="E31" s="357"/>
    </row>
    <row r="32" spans="1:5" ht="12.75">
      <c r="A32" s="121" t="s">
        <v>475</v>
      </c>
      <c r="B32" s="120"/>
      <c r="C32" s="120">
        <v>12373</v>
      </c>
      <c r="D32" s="344"/>
      <c r="E32" s="357"/>
    </row>
    <row r="33" spans="1:5" ht="12.75">
      <c r="A33" s="121" t="s">
        <v>472</v>
      </c>
      <c r="B33" s="120"/>
      <c r="C33" s="120"/>
      <c r="D33" s="344">
        <v>3221</v>
      </c>
      <c r="E33" s="357"/>
    </row>
    <row r="34" spans="1:5" ht="12.75">
      <c r="A34" s="121" t="s">
        <v>79</v>
      </c>
      <c r="B34" s="120">
        <v>6500</v>
      </c>
      <c r="C34" s="120">
        <v>6500</v>
      </c>
      <c r="D34" s="344">
        <v>2773</v>
      </c>
      <c r="E34" s="357">
        <f>D34/C34*100</f>
        <v>42.66153846153846</v>
      </c>
    </row>
    <row r="35" spans="1:5" ht="12.75">
      <c r="A35" s="121" t="s">
        <v>319</v>
      </c>
      <c r="B35" s="120">
        <v>70000</v>
      </c>
      <c r="C35" s="120">
        <v>70000</v>
      </c>
      <c r="D35" s="344">
        <v>32525</v>
      </c>
      <c r="E35" s="357">
        <f>D35/C35*100</f>
        <v>46.464285714285715</v>
      </c>
    </row>
    <row r="36" spans="1:5" ht="12.75">
      <c r="A36" s="121" t="s">
        <v>318</v>
      </c>
      <c r="B36" s="120">
        <v>6860</v>
      </c>
      <c r="C36" s="120">
        <v>6860</v>
      </c>
      <c r="D36" s="344">
        <v>0</v>
      </c>
      <c r="E36" s="357"/>
    </row>
    <row r="37" spans="1:5" ht="12.75">
      <c r="A37" s="121" t="s">
        <v>408</v>
      </c>
      <c r="B37" s="120">
        <v>9000</v>
      </c>
      <c r="C37" s="120">
        <v>9000</v>
      </c>
      <c r="D37" s="344">
        <v>2419</v>
      </c>
      <c r="E37" s="357">
        <f>D37/C37*100</f>
        <v>26.87777777777778</v>
      </c>
    </row>
    <row r="38" spans="1:5" ht="12.75">
      <c r="A38" s="121" t="s">
        <v>464</v>
      </c>
      <c r="B38" s="120"/>
      <c r="C38" s="120"/>
      <c r="D38" s="344">
        <v>304867</v>
      </c>
      <c r="E38" s="357"/>
    </row>
    <row r="39" spans="1:5" ht="12.75">
      <c r="A39" s="121" t="s">
        <v>465</v>
      </c>
      <c r="B39" s="120"/>
      <c r="C39" s="120"/>
      <c r="D39" s="344">
        <v>945</v>
      </c>
      <c r="E39" s="357"/>
    </row>
    <row r="40" spans="1:5" ht="12.75">
      <c r="A40" s="121" t="s">
        <v>466</v>
      </c>
      <c r="B40" s="120"/>
      <c r="C40" s="120">
        <v>453</v>
      </c>
      <c r="D40" s="344">
        <v>453</v>
      </c>
      <c r="E40" s="357">
        <f>D40/C40*100</f>
        <v>100</v>
      </c>
    </row>
    <row r="41" spans="1:5" ht="12.75">
      <c r="A41" s="121" t="s">
        <v>471</v>
      </c>
      <c r="B41" s="120"/>
      <c r="C41" s="120"/>
      <c r="D41" s="344">
        <v>1164</v>
      </c>
      <c r="E41" s="357"/>
    </row>
    <row r="42" spans="1:5" ht="13.5" thickBot="1">
      <c r="A42" s="277" t="s">
        <v>409</v>
      </c>
      <c r="B42" s="301">
        <v>714070</v>
      </c>
      <c r="C42" s="301">
        <f>714070+317915+10000</f>
        <v>1041985</v>
      </c>
      <c r="D42" s="352">
        <v>0</v>
      </c>
      <c r="E42" s="358"/>
    </row>
    <row r="43" spans="1:5" ht="15.75" thickBot="1">
      <c r="A43" s="342" t="s">
        <v>16</v>
      </c>
      <c r="B43" s="343">
        <f>SUM(B6:B42)</f>
        <v>2722256</v>
      </c>
      <c r="C43" s="343">
        <f>SUM(C6:C42)</f>
        <v>3062997</v>
      </c>
      <c r="D43" s="343">
        <f>SUM(D6:D42)</f>
        <v>902530</v>
      </c>
      <c r="E43" s="469">
        <f>D43/C43*100</f>
        <v>29.465585503348517</v>
      </c>
    </row>
    <row r="44" spans="1:4" ht="12.75">
      <c r="A44" s="75"/>
      <c r="B44" s="275"/>
      <c r="C44" s="275"/>
      <c r="D44" s="333"/>
    </row>
    <row r="45" spans="1:4" ht="12.75">
      <c r="A45" s="75"/>
      <c r="B45" s="275"/>
      <c r="C45" s="275"/>
      <c r="D45" s="333"/>
    </row>
    <row r="46" spans="1:4" ht="12.75">
      <c r="A46" s="75"/>
      <c r="B46" s="275"/>
      <c r="C46" s="275"/>
      <c r="D46" s="333"/>
    </row>
    <row r="47" spans="1:4" ht="15">
      <c r="A47" s="592" t="s">
        <v>320</v>
      </c>
      <c r="B47" s="592"/>
      <c r="C47" s="592"/>
      <c r="D47" s="592"/>
    </row>
    <row r="48" spans="1:4" ht="12.75">
      <c r="A48" s="75"/>
      <c r="B48" s="275"/>
      <c r="C48" s="275"/>
      <c r="D48" s="333"/>
    </row>
    <row r="49" spans="1:4" ht="13.5" thickBot="1">
      <c r="A49" s="593" t="s">
        <v>82</v>
      </c>
      <c r="B49" s="594"/>
      <c r="C49" s="594"/>
      <c r="D49" s="594"/>
    </row>
    <row r="50" spans="1:5" ht="13.5" thickBot="1">
      <c r="A50" s="294" t="s">
        <v>62</v>
      </c>
      <c r="B50" s="295" t="s">
        <v>63</v>
      </c>
      <c r="C50" s="295" t="s">
        <v>64</v>
      </c>
      <c r="D50" s="346" t="s">
        <v>65</v>
      </c>
      <c r="E50" s="355" t="s">
        <v>66</v>
      </c>
    </row>
    <row r="51" spans="1:5" ht="26.25" thickBot="1">
      <c r="A51" s="184" t="s">
        <v>47</v>
      </c>
      <c r="B51" s="296" t="s">
        <v>380</v>
      </c>
      <c r="C51" s="118" t="s">
        <v>493</v>
      </c>
      <c r="D51" s="348" t="s">
        <v>440</v>
      </c>
      <c r="E51" s="360" t="s">
        <v>41</v>
      </c>
    </row>
    <row r="52" spans="1:5" ht="12.75">
      <c r="A52" s="297" t="s">
        <v>349</v>
      </c>
      <c r="B52" s="298">
        <f>SUM(B53:B72)</f>
        <v>1538839</v>
      </c>
      <c r="C52" s="298">
        <f>SUM(C53:C80)</f>
        <v>1553462</v>
      </c>
      <c r="D52" s="298">
        <f>SUM(D53:D80)</f>
        <v>158583</v>
      </c>
      <c r="E52" s="470">
        <f aca="true" t="shared" si="0" ref="E52:E99">D52/C52*100</f>
        <v>10.208360423364073</v>
      </c>
    </row>
    <row r="53" spans="1:5" ht="12.75">
      <c r="A53" s="121" t="s">
        <v>417</v>
      </c>
      <c r="B53" s="293">
        <v>24333</v>
      </c>
      <c r="C53" s="293">
        <v>24333</v>
      </c>
      <c r="D53" s="344">
        <v>228</v>
      </c>
      <c r="E53" s="357">
        <f t="shared" si="0"/>
        <v>0.9369991369744791</v>
      </c>
    </row>
    <row r="54" spans="1:5" ht="12.75">
      <c r="A54" s="31" t="s">
        <v>322</v>
      </c>
      <c r="B54" s="120">
        <v>108557</v>
      </c>
      <c r="C54" s="120">
        <v>108557</v>
      </c>
      <c r="D54" s="344">
        <v>0</v>
      </c>
      <c r="E54" s="357">
        <f t="shared" si="0"/>
        <v>0</v>
      </c>
    </row>
    <row r="55" spans="1:5" ht="12.75">
      <c r="A55" s="31" t="s">
        <v>418</v>
      </c>
      <c r="B55" s="120">
        <v>175239</v>
      </c>
      <c r="C55" s="120">
        <v>175239</v>
      </c>
      <c r="D55" s="344">
        <v>3320</v>
      </c>
      <c r="E55" s="357">
        <f t="shared" si="0"/>
        <v>1.8945554357192178</v>
      </c>
    </row>
    <row r="56" spans="1:5" ht="12.75">
      <c r="A56" s="31" t="s">
        <v>315</v>
      </c>
      <c r="B56" s="120">
        <v>335591</v>
      </c>
      <c r="C56" s="120">
        <v>335591</v>
      </c>
      <c r="D56" s="344">
        <f>50550+39135</f>
        <v>89685</v>
      </c>
      <c r="E56" s="357">
        <f t="shared" si="0"/>
        <v>26.72449499539618</v>
      </c>
    </row>
    <row r="57" spans="1:5" ht="12.75">
      <c r="A57" s="121" t="s">
        <v>419</v>
      </c>
      <c r="B57" s="120">
        <v>157295</v>
      </c>
      <c r="C57" s="120">
        <v>157295</v>
      </c>
      <c r="D57" s="344">
        <v>5080</v>
      </c>
      <c r="E57" s="357">
        <f t="shared" si="0"/>
        <v>3.229600432308719</v>
      </c>
    </row>
    <row r="58" spans="1:5" ht="25.5">
      <c r="A58" s="299" t="s">
        <v>396</v>
      </c>
      <c r="B58" s="120">
        <v>337866</v>
      </c>
      <c r="C58" s="120">
        <v>337866</v>
      </c>
      <c r="D58" s="344">
        <v>5397</v>
      </c>
      <c r="E58" s="357">
        <f t="shared" si="0"/>
        <v>1.597378842499689</v>
      </c>
    </row>
    <row r="59" spans="1:5" ht="12.75">
      <c r="A59" s="121" t="s">
        <v>420</v>
      </c>
      <c r="B59" s="120">
        <v>97222</v>
      </c>
      <c r="C59" s="120">
        <v>97222</v>
      </c>
      <c r="D59" s="344">
        <v>0</v>
      </c>
      <c r="E59" s="357">
        <f t="shared" si="0"/>
        <v>0</v>
      </c>
    </row>
    <row r="60" spans="1:5" ht="12.75">
      <c r="A60" s="121" t="s">
        <v>421</v>
      </c>
      <c r="B60" s="120">
        <v>14590</v>
      </c>
      <c r="C60" s="120">
        <v>14590</v>
      </c>
      <c r="D60" s="344">
        <v>4589</v>
      </c>
      <c r="E60" s="357">
        <f t="shared" si="0"/>
        <v>31.453050034270046</v>
      </c>
    </row>
    <row r="61" spans="1:5" ht="12.75">
      <c r="A61" s="121" t="s">
        <v>422</v>
      </c>
      <c r="B61" s="120">
        <v>6500</v>
      </c>
      <c r="C61" s="120">
        <v>6500</v>
      </c>
      <c r="D61" s="344">
        <v>0</v>
      </c>
      <c r="E61" s="357"/>
    </row>
    <row r="62" spans="1:5" ht="25.5">
      <c r="A62" s="299" t="s">
        <v>423</v>
      </c>
      <c r="B62" s="120">
        <v>147177</v>
      </c>
      <c r="C62" s="120">
        <v>147177</v>
      </c>
      <c r="D62" s="344">
        <v>0</v>
      </c>
      <c r="E62" s="357"/>
    </row>
    <row r="63" spans="1:5" ht="25.5">
      <c r="A63" s="299" t="s">
        <v>424</v>
      </c>
      <c r="B63" s="120">
        <v>39673</v>
      </c>
      <c r="C63" s="120">
        <v>39673</v>
      </c>
      <c r="D63" s="344">
        <v>0</v>
      </c>
      <c r="E63" s="357"/>
    </row>
    <row r="64" spans="1:5" ht="12.75">
      <c r="A64" s="121" t="s">
        <v>402</v>
      </c>
      <c r="B64" s="120">
        <v>14834</v>
      </c>
      <c r="C64" s="120">
        <v>14834</v>
      </c>
      <c r="D64" s="344">
        <v>0</v>
      </c>
      <c r="E64" s="357"/>
    </row>
    <row r="65" spans="1:5" ht="12.75">
      <c r="A65" s="121" t="s">
        <v>425</v>
      </c>
      <c r="B65" s="120">
        <v>1499</v>
      </c>
      <c r="C65" s="120">
        <v>1499</v>
      </c>
      <c r="D65" s="344">
        <v>1753</v>
      </c>
      <c r="E65" s="357">
        <f t="shared" si="0"/>
        <v>116.94462975316877</v>
      </c>
    </row>
    <row r="66" spans="1:5" ht="12.75">
      <c r="A66" s="121" t="s">
        <v>426</v>
      </c>
      <c r="B66" s="120">
        <v>18000</v>
      </c>
      <c r="C66" s="120">
        <v>18000</v>
      </c>
      <c r="D66" s="344">
        <v>0</v>
      </c>
      <c r="E66" s="357"/>
    </row>
    <row r="67" spans="1:5" ht="12.75">
      <c r="A67" s="31" t="s">
        <v>427</v>
      </c>
      <c r="B67" s="120">
        <v>572</v>
      </c>
      <c r="C67" s="120">
        <v>572</v>
      </c>
      <c r="D67" s="344">
        <v>0</v>
      </c>
      <c r="E67" s="357"/>
    </row>
    <row r="68" spans="1:5" ht="12.75">
      <c r="A68" s="31" t="s">
        <v>428</v>
      </c>
      <c r="B68" s="120">
        <v>1000</v>
      </c>
      <c r="C68" s="120">
        <v>1000</v>
      </c>
      <c r="D68" s="344">
        <v>0</v>
      </c>
      <c r="E68" s="357"/>
    </row>
    <row r="69" spans="1:5" ht="12.75">
      <c r="A69" s="121" t="s">
        <v>429</v>
      </c>
      <c r="B69" s="120">
        <v>15000</v>
      </c>
      <c r="C69" s="120">
        <v>15000</v>
      </c>
      <c r="D69" s="344">
        <v>0</v>
      </c>
      <c r="E69" s="357"/>
    </row>
    <row r="70" spans="1:5" ht="12.75">
      <c r="A70" s="121" t="s">
        <v>430</v>
      </c>
      <c r="B70" s="120">
        <f>2200+3700</f>
        <v>5900</v>
      </c>
      <c r="C70" s="120">
        <f>2200+3700</f>
        <v>5900</v>
      </c>
      <c r="D70" s="344">
        <f>3331+1524</f>
        <v>4855</v>
      </c>
      <c r="E70" s="357">
        <f t="shared" si="0"/>
        <v>82.28813559322033</v>
      </c>
    </row>
    <row r="71" spans="1:5" ht="12.75">
      <c r="A71" s="121" t="s">
        <v>431</v>
      </c>
      <c r="B71" s="120">
        <v>3000</v>
      </c>
      <c r="C71" s="120">
        <v>3000</v>
      </c>
      <c r="D71" s="344">
        <f>1300+3000</f>
        <v>4300</v>
      </c>
      <c r="E71" s="357">
        <f t="shared" si="0"/>
        <v>143.33333333333334</v>
      </c>
    </row>
    <row r="72" spans="1:5" ht="25.5">
      <c r="A72" s="299" t="s">
        <v>403</v>
      </c>
      <c r="B72" s="120">
        <v>34991</v>
      </c>
      <c r="C72" s="120">
        <v>34991</v>
      </c>
      <c r="D72" s="344">
        <v>0</v>
      </c>
      <c r="E72" s="357"/>
    </row>
    <row r="73" spans="1:5" ht="12.75">
      <c r="A73" s="299" t="s">
        <v>458</v>
      </c>
      <c r="B73" s="120"/>
      <c r="C73" s="120"/>
      <c r="D73" s="344">
        <v>185</v>
      </c>
      <c r="E73" s="357"/>
    </row>
    <row r="74" spans="1:5" ht="12.75">
      <c r="A74" s="299" t="s">
        <v>459</v>
      </c>
      <c r="B74" s="120"/>
      <c r="C74" s="120"/>
      <c r="D74" s="344">
        <f>1179+677</f>
        <v>1856</v>
      </c>
      <c r="E74" s="357"/>
    </row>
    <row r="75" spans="1:5" ht="12.75">
      <c r="A75" s="299" t="s">
        <v>460</v>
      </c>
      <c r="B75" s="120"/>
      <c r="C75" s="120">
        <v>12373</v>
      </c>
      <c r="D75" s="344">
        <v>10373</v>
      </c>
      <c r="E75" s="357">
        <f t="shared" si="0"/>
        <v>83.83577143780812</v>
      </c>
    </row>
    <row r="76" spans="1:5" ht="12.75">
      <c r="A76" s="299" t="s">
        <v>473</v>
      </c>
      <c r="B76" s="120"/>
      <c r="C76" s="120">
        <v>2250</v>
      </c>
      <c r="D76" s="344"/>
      <c r="E76" s="357"/>
    </row>
    <row r="77" spans="1:5" ht="12.75">
      <c r="A77" s="299" t="s">
        <v>468</v>
      </c>
      <c r="B77" s="120"/>
      <c r="C77" s="120"/>
      <c r="D77" s="344">
        <v>2000</v>
      </c>
      <c r="E77" s="357"/>
    </row>
    <row r="78" spans="1:5" ht="12.75">
      <c r="A78" s="299" t="s">
        <v>469</v>
      </c>
      <c r="B78" s="120"/>
      <c r="C78" s="120"/>
      <c r="D78" s="344">
        <v>1948</v>
      </c>
      <c r="E78" s="357"/>
    </row>
    <row r="79" spans="1:5" ht="12.75">
      <c r="A79" s="299" t="s">
        <v>461</v>
      </c>
      <c r="B79" s="120"/>
      <c r="C79" s="120"/>
      <c r="D79" s="344">
        <v>1024</v>
      </c>
      <c r="E79" s="357"/>
    </row>
    <row r="80" spans="1:5" ht="13.5" thickBot="1">
      <c r="A80" s="300" t="s">
        <v>462</v>
      </c>
      <c r="B80" s="301"/>
      <c r="C80" s="301"/>
      <c r="D80" s="352">
        <v>21990</v>
      </c>
      <c r="E80" s="358"/>
    </row>
    <row r="81" spans="1:5" ht="12.75">
      <c r="A81" s="276" t="s">
        <v>350</v>
      </c>
      <c r="B81" s="302">
        <f>SUM(B82:B89)</f>
        <v>212144</v>
      </c>
      <c r="C81" s="302">
        <f>SUM(C82:C90)</f>
        <v>216502</v>
      </c>
      <c r="D81" s="302">
        <f>SUM(D82:D89)</f>
        <v>272826</v>
      </c>
      <c r="E81" s="470">
        <f t="shared" si="0"/>
        <v>126.0154640603782</v>
      </c>
    </row>
    <row r="82" spans="1:5" ht="12.75">
      <c r="A82" s="31" t="s">
        <v>321</v>
      </c>
      <c r="B82" s="120">
        <f>71824-10400</f>
        <v>61424</v>
      </c>
      <c r="C82" s="120">
        <f>71824-10400</f>
        <v>61424</v>
      </c>
      <c r="D82" s="344">
        <v>39859</v>
      </c>
      <c r="E82" s="357">
        <f t="shared" si="0"/>
        <v>64.89157332638707</v>
      </c>
    </row>
    <row r="83" spans="1:5" ht="12.75">
      <c r="A83" s="31" t="s">
        <v>457</v>
      </c>
      <c r="B83" s="120"/>
      <c r="C83" s="345"/>
      <c r="D83" s="344">
        <v>154757</v>
      </c>
      <c r="E83" s="357"/>
    </row>
    <row r="84" spans="1:5" ht="12.75">
      <c r="A84" s="31" t="s">
        <v>432</v>
      </c>
      <c r="B84" s="120">
        <f>32483-7294</f>
        <v>25189</v>
      </c>
      <c r="C84" s="120">
        <f>32483-7294</f>
        <v>25189</v>
      </c>
      <c r="D84" s="344">
        <v>68882</v>
      </c>
      <c r="E84" s="357">
        <f t="shared" si="0"/>
        <v>273.460637579896</v>
      </c>
    </row>
    <row r="85" spans="1:5" ht="12.75">
      <c r="A85" s="31" t="s">
        <v>433</v>
      </c>
      <c r="B85" s="120">
        <f>2888-1000</f>
        <v>1888</v>
      </c>
      <c r="C85" s="120">
        <f>2888-1000</f>
        <v>1888</v>
      </c>
      <c r="D85" s="344">
        <v>0</v>
      </c>
      <c r="E85" s="357"/>
    </row>
    <row r="86" spans="1:5" ht="12.75">
      <c r="A86" s="121" t="s">
        <v>434</v>
      </c>
      <c r="B86" s="120">
        <v>60000</v>
      </c>
      <c r="C86" s="120">
        <v>60000</v>
      </c>
      <c r="D86" s="344">
        <v>0</v>
      </c>
      <c r="E86" s="357"/>
    </row>
    <row r="87" spans="1:5" ht="12.75">
      <c r="A87" s="121" t="s">
        <v>435</v>
      </c>
      <c r="B87" s="120">
        <v>36578</v>
      </c>
      <c r="C87" s="120">
        <v>36578</v>
      </c>
      <c r="D87" s="344">
        <v>6599</v>
      </c>
      <c r="E87" s="357">
        <f t="shared" si="0"/>
        <v>18.040898900978732</v>
      </c>
    </row>
    <row r="88" spans="1:5" ht="12.75">
      <c r="A88" s="121" t="s">
        <v>436</v>
      </c>
      <c r="B88" s="120">
        <v>6860</v>
      </c>
      <c r="C88" s="120">
        <v>6860</v>
      </c>
      <c r="D88" s="344">
        <v>2729</v>
      </c>
      <c r="E88" s="357">
        <f t="shared" si="0"/>
        <v>39.78134110787172</v>
      </c>
    </row>
    <row r="89" spans="1:5" ht="12.75">
      <c r="A89" s="121" t="s">
        <v>437</v>
      </c>
      <c r="B89" s="120">
        <f>23205-3000</f>
        <v>20205</v>
      </c>
      <c r="C89" s="120">
        <f>23205-3000</f>
        <v>20205</v>
      </c>
      <c r="D89" s="344">
        <v>0</v>
      </c>
      <c r="E89" s="357"/>
    </row>
    <row r="90" spans="1:5" ht="13.5" thickBot="1">
      <c r="A90" s="277" t="s">
        <v>474</v>
      </c>
      <c r="B90" s="301"/>
      <c r="C90" s="301">
        <v>4358</v>
      </c>
      <c r="D90" s="352"/>
      <c r="E90" s="358"/>
    </row>
    <row r="91" spans="1:5" ht="12.75">
      <c r="A91" s="276" t="s">
        <v>351</v>
      </c>
      <c r="B91" s="302">
        <f>SUM(B92:B98)</f>
        <v>971273</v>
      </c>
      <c r="C91" s="302">
        <f>SUM(C92:C98)</f>
        <v>1292580</v>
      </c>
      <c r="D91" s="302">
        <f>SUM(D92:D98)</f>
        <v>482827</v>
      </c>
      <c r="E91" s="470">
        <f t="shared" si="0"/>
        <v>37.353742128146806</v>
      </c>
    </row>
    <row r="92" spans="1:5" ht="12.75">
      <c r="A92" s="121" t="s">
        <v>287</v>
      </c>
      <c r="B92" s="120">
        <v>70000</v>
      </c>
      <c r="C92" s="120">
        <v>70000</v>
      </c>
      <c r="D92" s="344">
        <v>41493</v>
      </c>
      <c r="E92" s="357">
        <f t="shared" si="0"/>
        <v>59.27571428571429</v>
      </c>
    </row>
    <row r="93" spans="1:5" ht="12.75">
      <c r="A93" s="121" t="s">
        <v>48</v>
      </c>
      <c r="B93" s="120">
        <v>5000</v>
      </c>
      <c r="C93" s="120">
        <v>5000</v>
      </c>
      <c r="D93" s="344">
        <v>600</v>
      </c>
      <c r="E93" s="357">
        <f t="shared" si="0"/>
        <v>12</v>
      </c>
    </row>
    <row r="94" spans="1:5" ht="12.75">
      <c r="A94" s="121" t="s">
        <v>438</v>
      </c>
      <c r="B94" s="120">
        <v>182203</v>
      </c>
      <c r="C94" s="120">
        <v>182203</v>
      </c>
      <c r="D94" s="344">
        <v>91101</v>
      </c>
      <c r="E94" s="357">
        <f t="shared" si="0"/>
        <v>49.99972558080822</v>
      </c>
    </row>
    <row r="95" spans="1:5" ht="12.75">
      <c r="A95" s="121" t="s">
        <v>441</v>
      </c>
      <c r="B95" s="120"/>
      <c r="C95" s="359">
        <v>500</v>
      </c>
      <c r="D95" s="344">
        <v>500</v>
      </c>
      <c r="E95" s="357">
        <f t="shared" si="0"/>
        <v>100</v>
      </c>
    </row>
    <row r="96" spans="1:5" ht="12.75">
      <c r="A96" s="121" t="s">
        <v>467</v>
      </c>
      <c r="B96" s="120"/>
      <c r="C96" s="120"/>
      <c r="D96" s="344">
        <v>6740</v>
      </c>
      <c r="E96" s="357"/>
    </row>
    <row r="97" spans="1:5" ht="12.75">
      <c r="A97" s="565" t="s">
        <v>492</v>
      </c>
      <c r="B97" s="566"/>
      <c r="C97" s="566"/>
      <c r="D97" s="567">
        <v>342393</v>
      </c>
      <c r="E97" s="568"/>
    </row>
    <row r="98" spans="1:5" ht="13.5" thickBot="1">
      <c r="A98" s="277" t="s">
        <v>439</v>
      </c>
      <c r="B98" s="301">
        <v>714070</v>
      </c>
      <c r="C98" s="301">
        <v>1034877</v>
      </c>
      <c r="D98" s="352"/>
      <c r="E98" s="358"/>
    </row>
    <row r="99" spans="1:5" s="570" customFormat="1" ht="15.75" thickBot="1">
      <c r="A99" s="303" t="s">
        <v>16</v>
      </c>
      <c r="B99" s="304">
        <f>B52+B81+B91</f>
        <v>2722256</v>
      </c>
      <c r="C99" s="304">
        <f>C91+C81+C52</f>
        <v>3062544</v>
      </c>
      <c r="D99" s="304">
        <f>D52+D81+D91</f>
        <v>914236</v>
      </c>
      <c r="E99" s="569">
        <f t="shared" si="0"/>
        <v>29.85217518507489</v>
      </c>
    </row>
  </sheetData>
  <mergeCells count="4">
    <mergeCell ref="A1:B1"/>
    <mergeCell ref="A3:D3"/>
    <mergeCell ref="A47:D47"/>
    <mergeCell ref="A49:D49"/>
  </mergeCells>
  <printOptions/>
  <pageMargins left="0.35" right="0.3" top="0.76" bottom="0.4724409448818898" header="0.31496062992125984" footer="0.35433070866141736"/>
  <pageSetup horizontalDpi="600" verticalDpi="600" orientation="portrait" paperSize="9" scale="90" r:id="rId1"/>
  <headerFooter alignWithMargins="0">
    <oddHeader>&amp;L6.sz. tájékoztató tábla</oddHeader>
  </headerFooter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6" sqref="A6"/>
    </sheetView>
  </sheetViews>
  <sheetFormatPr defaultColWidth="9.00390625" defaultRowHeight="12.75"/>
  <cols>
    <col min="1" max="1" width="6.125" style="0" customWidth="1"/>
    <col min="2" max="2" width="42.875" style="0" customWidth="1"/>
    <col min="3" max="6" width="12.25390625" style="0" customWidth="1"/>
    <col min="7" max="7" width="10.75390625" style="0" customWidth="1"/>
  </cols>
  <sheetData>
    <row r="1" spans="2:6" ht="15.75">
      <c r="B1" s="33" t="s">
        <v>376</v>
      </c>
      <c r="C1" s="8"/>
      <c r="D1" s="8"/>
      <c r="E1" s="8"/>
      <c r="F1" s="8"/>
    </row>
    <row r="2" spans="2:6" ht="15.75">
      <c r="B2" s="8"/>
      <c r="C2" s="8"/>
      <c r="D2" s="8"/>
      <c r="E2" s="8"/>
      <c r="F2" s="8"/>
    </row>
    <row r="3" spans="2:7" ht="15.75">
      <c r="B3" s="9"/>
      <c r="C3" s="10"/>
      <c r="D3" s="10"/>
      <c r="E3" s="10"/>
      <c r="F3" s="38"/>
      <c r="G3" s="38"/>
    </row>
    <row r="4" spans="2:6" ht="13.5" thickBot="1">
      <c r="B4" s="11"/>
      <c r="C4" s="11"/>
      <c r="D4" s="11"/>
      <c r="E4" s="11"/>
      <c r="F4" s="11"/>
    </row>
    <row r="5" spans="1:6" ht="43.5" thickBot="1">
      <c r="A5" s="571" t="s">
        <v>494</v>
      </c>
      <c r="B5" s="247" t="s">
        <v>1</v>
      </c>
      <c r="C5" s="248" t="s">
        <v>377</v>
      </c>
      <c r="D5" s="251" t="s">
        <v>385</v>
      </c>
      <c r="E5" s="251" t="s">
        <v>386</v>
      </c>
      <c r="F5" s="249" t="s">
        <v>378</v>
      </c>
    </row>
    <row r="6" spans="1:6" ht="14.25">
      <c r="A6" s="437" t="s">
        <v>2</v>
      </c>
      <c r="B6" s="60" t="s">
        <v>479</v>
      </c>
      <c r="C6" s="60">
        <v>14</v>
      </c>
      <c r="D6" s="60">
        <v>14</v>
      </c>
      <c r="E6" s="60">
        <v>14</v>
      </c>
      <c r="F6" s="34">
        <v>14</v>
      </c>
    </row>
    <row r="7" spans="1:6" ht="14.25">
      <c r="A7" s="438" t="s">
        <v>3</v>
      </c>
      <c r="B7" s="36" t="s">
        <v>8</v>
      </c>
      <c r="C7" s="36">
        <v>17</v>
      </c>
      <c r="D7" s="36">
        <v>17</v>
      </c>
      <c r="E7" s="36">
        <v>17</v>
      </c>
      <c r="F7" s="35">
        <v>16</v>
      </c>
    </row>
    <row r="8" spans="1:6" ht="14.25">
      <c r="A8" s="438" t="s">
        <v>4</v>
      </c>
      <c r="B8" s="36" t="s">
        <v>12</v>
      </c>
      <c r="C8" s="36">
        <v>28</v>
      </c>
      <c r="D8" s="36">
        <v>28</v>
      </c>
      <c r="E8" s="36">
        <v>28</v>
      </c>
      <c r="F8" s="35">
        <v>28</v>
      </c>
    </row>
    <row r="9" spans="1:6" ht="14.25">
      <c r="A9" s="438" t="s">
        <v>5</v>
      </c>
      <c r="B9" s="36" t="s">
        <v>326</v>
      </c>
      <c r="C9" s="36">
        <v>48</v>
      </c>
      <c r="D9" s="36">
        <f>48-10</f>
        <v>38</v>
      </c>
      <c r="E9" s="36">
        <v>38</v>
      </c>
      <c r="F9" s="35">
        <v>38</v>
      </c>
    </row>
    <row r="10" spans="1:6" ht="14.25">
      <c r="A10" s="438" t="s">
        <v>6</v>
      </c>
      <c r="B10" s="36" t="s">
        <v>14</v>
      </c>
      <c r="C10" s="439">
        <f>71-1</f>
        <v>70</v>
      </c>
      <c r="D10" s="439">
        <f>68+3</f>
        <v>71</v>
      </c>
      <c r="E10" s="439">
        <f>68+3</f>
        <v>71</v>
      </c>
      <c r="F10" s="62">
        <v>70</v>
      </c>
    </row>
    <row r="11" spans="1:6" ht="14.25">
      <c r="A11" s="92" t="s">
        <v>372</v>
      </c>
      <c r="B11" s="36" t="s">
        <v>15</v>
      </c>
      <c r="C11" s="36">
        <v>76</v>
      </c>
      <c r="D11" s="36">
        <f>76+2</f>
        <v>78</v>
      </c>
      <c r="E11" s="36">
        <f>76+2</f>
        <v>78</v>
      </c>
      <c r="F11" s="62">
        <v>76</v>
      </c>
    </row>
    <row r="12" spans="1:6" ht="14.25">
      <c r="A12" s="92" t="s">
        <v>373</v>
      </c>
      <c r="B12" s="36" t="s">
        <v>17</v>
      </c>
      <c r="C12" s="36">
        <v>119</v>
      </c>
      <c r="D12" s="36">
        <v>119</v>
      </c>
      <c r="E12" s="36">
        <v>115</v>
      </c>
      <c r="F12" s="62">
        <v>119</v>
      </c>
    </row>
    <row r="13" spans="1:6" ht="14.25">
      <c r="A13" s="92" t="s">
        <v>374</v>
      </c>
      <c r="B13" s="36" t="s">
        <v>375</v>
      </c>
      <c r="C13" s="36">
        <v>4</v>
      </c>
      <c r="D13" s="36">
        <v>4</v>
      </c>
      <c r="E13" s="36">
        <v>4</v>
      </c>
      <c r="F13" s="62">
        <v>4</v>
      </c>
    </row>
    <row r="14" spans="1:6" ht="15" thickBot="1">
      <c r="A14" s="93"/>
      <c r="B14" s="94" t="s">
        <v>297</v>
      </c>
      <c r="C14" s="94">
        <v>328</v>
      </c>
      <c r="D14" s="94">
        <v>328</v>
      </c>
      <c r="E14" s="94">
        <v>328</v>
      </c>
      <c r="F14" s="95">
        <v>204</v>
      </c>
    </row>
    <row r="15" spans="1:6" ht="15" thickBot="1">
      <c r="A15" s="233"/>
      <c r="B15" s="250" t="s">
        <v>16</v>
      </c>
      <c r="C15" s="234">
        <f>SUM(C6:C14)</f>
        <v>704</v>
      </c>
      <c r="D15" s="234">
        <f>SUM(D6:D14)</f>
        <v>697</v>
      </c>
      <c r="E15" s="234">
        <f>SUM(E6:E14)</f>
        <v>693</v>
      </c>
      <c r="F15" s="235">
        <f>SUM(F6:F14)</f>
        <v>569</v>
      </c>
    </row>
    <row r="16" spans="2:5" ht="12.75">
      <c r="B16" s="11"/>
      <c r="C16" s="11"/>
      <c r="D16" s="11"/>
      <c r="E16" s="11"/>
    </row>
    <row r="17" spans="2:6" ht="12.75">
      <c r="B17" s="11"/>
      <c r="C17" s="11"/>
      <c r="D17" s="11"/>
      <c r="E17" s="11"/>
      <c r="F17" s="11"/>
    </row>
    <row r="18" spans="3:5" ht="12.75">
      <c r="C18" s="12"/>
      <c r="D18" s="12"/>
      <c r="E18" s="12"/>
    </row>
    <row r="19" spans="2:5" ht="12.75">
      <c r="B19" s="11"/>
      <c r="C19" s="11"/>
      <c r="D19" s="11"/>
      <c r="E19" s="11"/>
    </row>
  </sheetData>
  <printOptions/>
  <pageMargins left="0.28" right="0.22" top="0.984251968503937" bottom="0.984251968503937" header="0.5118110236220472" footer="0.5118110236220472"/>
  <pageSetup horizontalDpi="600" verticalDpi="600" orientation="portrait" paperSize="9" r:id="rId1"/>
  <headerFooter alignWithMargins="0">
    <oddHeader>&amp;L 2. melléklet a .../...(....) önkormányzati határozathoz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19"/>
  <sheetViews>
    <sheetView workbookViewId="0" topLeftCell="A1">
      <pane xSplit="2" ySplit="4" topLeftCell="C71" activePane="bottomRight" state="frozen"/>
      <selection pane="topLeft" activeCell="A23" sqref="A23"/>
      <selection pane="topRight" activeCell="A23" sqref="A23"/>
      <selection pane="bottomLeft" activeCell="A23" sqref="A23"/>
      <selection pane="bottomRight" activeCell="F18" sqref="F18:F25"/>
    </sheetView>
  </sheetViews>
  <sheetFormatPr defaultColWidth="9.00390625" defaultRowHeight="12.75"/>
  <cols>
    <col min="1" max="1" width="3.875" style="13" customWidth="1"/>
    <col min="2" max="2" width="47.125" style="13" customWidth="1"/>
    <col min="3" max="3" width="10.00390625" style="13" customWidth="1"/>
    <col min="4" max="5" width="9.75390625" style="13" customWidth="1"/>
    <col min="6" max="6" width="9.625" style="20" customWidth="1"/>
    <col min="7" max="7" width="5.375" style="440" customWidth="1"/>
    <col min="8" max="8" width="10.875" style="20" customWidth="1"/>
    <col min="9" max="10" width="10.75390625" style="13" customWidth="1"/>
    <col min="11" max="16384" width="9.125" style="13" customWidth="1"/>
  </cols>
  <sheetData>
    <row r="1" spans="1:6" ht="15">
      <c r="A1" s="574" t="s">
        <v>98</v>
      </c>
      <c r="B1" s="574"/>
      <c r="C1" s="574"/>
      <c r="D1" s="574"/>
      <c r="E1" s="574"/>
      <c r="F1" s="574"/>
    </row>
    <row r="2" ht="12.75" customHeight="1" thickBot="1">
      <c r="F2" s="81"/>
    </row>
    <row r="3" spans="1:7" ht="12" customHeight="1" thickBot="1">
      <c r="A3" s="40"/>
      <c r="B3" s="41" t="s">
        <v>62</v>
      </c>
      <c r="C3" s="43" t="s">
        <v>63</v>
      </c>
      <c r="D3" s="43" t="s">
        <v>64</v>
      </c>
      <c r="E3" s="43" t="s">
        <v>65</v>
      </c>
      <c r="F3" s="365" t="s">
        <v>66</v>
      </c>
      <c r="G3" s="366" t="s">
        <v>67</v>
      </c>
    </row>
    <row r="4" spans="1:8" s="70" customFormat="1" ht="23.25" thickBot="1">
      <c r="A4" s="71"/>
      <c r="B4" s="386" t="s">
        <v>99</v>
      </c>
      <c r="C4" s="132" t="s">
        <v>379</v>
      </c>
      <c r="D4" s="132" t="s">
        <v>380</v>
      </c>
      <c r="E4" s="132" t="s">
        <v>482</v>
      </c>
      <c r="F4" s="384" t="s">
        <v>381</v>
      </c>
      <c r="G4" s="560" t="s">
        <v>41</v>
      </c>
      <c r="H4" s="80"/>
    </row>
    <row r="5" spans="1:7" ht="12" customHeight="1">
      <c r="A5" s="44" t="s">
        <v>2</v>
      </c>
      <c r="B5" s="45" t="s">
        <v>100</v>
      </c>
      <c r="C5" s="46">
        <f>C6+C7+C8</f>
        <v>1715290</v>
      </c>
      <c r="D5" s="46">
        <f>D6+D7+D8</f>
        <v>1232158</v>
      </c>
      <c r="E5" s="46">
        <f>E6+E7+E8</f>
        <v>1232158</v>
      </c>
      <c r="F5" s="46">
        <f>F6+F7+F8</f>
        <v>746151</v>
      </c>
      <c r="G5" s="441">
        <f>F5/E5*100</f>
        <v>60.55643837884427</v>
      </c>
    </row>
    <row r="6" spans="1:7" ht="12" customHeight="1">
      <c r="A6" s="44" t="s">
        <v>3</v>
      </c>
      <c r="B6" s="47" t="s">
        <v>101</v>
      </c>
      <c r="C6" s="15">
        <v>369512</v>
      </c>
      <c r="D6" s="15">
        <v>207124</v>
      </c>
      <c r="E6" s="15">
        <f>61667+32150+91307-3000+25000</f>
        <v>207124</v>
      </c>
      <c r="F6" s="15">
        <f>165434-11615+698</f>
        <v>154517</v>
      </c>
      <c r="G6" s="442">
        <f aca="true" t="shared" si="0" ref="G6:G59">F6/E6*100</f>
        <v>74.60120507522065</v>
      </c>
    </row>
    <row r="7" spans="1:7" ht="12" customHeight="1">
      <c r="A7" s="44" t="s">
        <v>4</v>
      </c>
      <c r="B7" s="47" t="s">
        <v>102</v>
      </c>
      <c r="C7" s="15">
        <v>58777</v>
      </c>
      <c r="D7" s="15">
        <v>2864</v>
      </c>
      <c r="E7" s="15">
        <v>2864</v>
      </c>
      <c r="F7" s="15">
        <v>2212</v>
      </c>
      <c r="G7" s="442">
        <f t="shared" si="0"/>
        <v>77.23463687150837</v>
      </c>
    </row>
    <row r="8" spans="1:7" ht="12" customHeight="1">
      <c r="A8" s="44" t="s">
        <v>5</v>
      </c>
      <c r="B8" s="47" t="s">
        <v>103</v>
      </c>
      <c r="C8" s="15">
        <f>SUM(C9:C16)</f>
        <v>1287001</v>
      </c>
      <c r="D8" s="15">
        <f>SUM(D9:D16)</f>
        <v>1022170</v>
      </c>
      <c r="E8" s="15">
        <f>SUM(E9:E15)</f>
        <v>1022170</v>
      </c>
      <c r="F8" s="15">
        <f>SUM(F9:F16)</f>
        <v>589422</v>
      </c>
      <c r="G8" s="442">
        <f t="shared" si="0"/>
        <v>57.66379369380827</v>
      </c>
    </row>
    <row r="9" spans="1:7" ht="12" customHeight="1">
      <c r="A9" s="44" t="s">
        <v>6</v>
      </c>
      <c r="B9" s="48" t="s">
        <v>104</v>
      </c>
      <c r="C9" s="14">
        <v>854262</v>
      </c>
      <c r="D9" s="14">
        <v>900000</v>
      </c>
      <c r="E9" s="14">
        <v>900000</v>
      </c>
      <c r="F9" s="14">
        <v>514783</v>
      </c>
      <c r="G9" s="443">
        <f t="shared" si="0"/>
        <v>57.19811111111112</v>
      </c>
    </row>
    <row r="10" spans="1:7" ht="12" customHeight="1">
      <c r="A10" s="44" t="s">
        <v>7</v>
      </c>
      <c r="B10" s="48" t="s">
        <v>105</v>
      </c>
      <c r="C10" s="14">
        <v>51914</v>
      </c>
      <c r="D10" s="14">
        <v>49500</v>
      </c>
      <c r="E10" s="14">
        <v>49500</v>
      </c>
      <c r="F10" s="14">
        <v>29277</v>
      </c>
      <c r="G10" s="443">
        <f t="shared" si="0"/>
        <v>59.14545454545455</v>
      </c>
    </row>
    <row r="11" spans="1:7" ht="12" customHeight="1">
      <c r="A11" s="44" t="s">
        <v>9</v>
      </c>
      <c r="B11" s="48" t="s">
        <v>106</v>
      </c>
      <c r="C11" s="14">
        <v>2062</v>
      </c>
      <c r="D11" s="14">
        <v>2000</v>
      </c>
      <c r="E11" s="14">
        <v>2000</v>
      </c>
      <c r="F11" s="14">
        <v>175</v>
      </c>
      <c r="G11" s="443">
        <f t="shared" si="0"/>
        <v>8.75</v>
      </c>
    </row>
    <row r="12" spans="1:7" ht="12" customHeight="1">
      <c r="A12" s="44" t="s">
        <v>10</v>
      </c>
      <c r="B12" s="48" t="s">
        <v>107</v>
      </c>
      <c r="C12" s="14">
        <v>118014</v>
      </c>
      <c r="D12" s="14">
        <v>46400</v>
      </c>
      <c r="E12" s="14">
        <v>46400</v>
      </c>
      <c r="F12" s="14">
        <v>25711</v>
      </c>
      <c r="G12" s="443">
        <f t="shared" si="0"/>
        <v>55.411637931034484</v>
      </c>
    </row>
    <row r="13" spans="1:7" ht="12" customHeight="1">
      <c r="A13" s="44" t="s">
        <v>11</v>
      </c>
      <c r="B13" s="48" t="s">
        <v>108</v>
      </c>
      <c r="C13" s="14">
        <v>228094</v>
      </c>
      <c r="D13" s="14"/>
      <c r="E13" s="14"/>
      <c r="F13" s="14"/>
      <c r="G13" s="443"/>
    </row>
    <row r="14" spans="1:7" ht="12" customHeight="1">
      <c r="A14" s="44" t="s">
        <v>13</v>
      </c>
      <c r="B14" s="48" t="s">
        <v>109</v>
      </c>
      <c r="C14" s="14">
        <v>20486</v>
      </c>
      <c r="D14" s="14">
        <v>9790</v>
      </c>
      <c r="E14" s="14">
        <v>9790</v>
      </c>
      <c r="F14" s="14">
        <v>11615</v>
      </c>
      <c r="G14" s="443">
        <f t="shared" si="0"/>
        <v>118.6414708886619</v>
      </c>
    </row>
    <row r="15" spans="1:7" ht="12" customHeight="1">
      <c r="A15" s="44" t="s">
        <v>71</v>
      </c>
      <c r="B15" s="48" t="s">
        <v>110</v>
      </c>
      <c r="C15" s="14">
        <f>12081+88</f>
        <v>12169</v>
      </c>
      <c r="D15" s="14">
        <v>14480</v>
      </c>
      <c r="E15" s="14">
        <f>1250+6850+2180+5000-800</f>
        <v>14480</v>
      </c>
      <c r="F15" s="14">
        <v>7861</v>
      </c>
      <c r="G15" s="443">
        <f t="shared" si="0"/>
        <v>54.28867403314918</v>
      </c>
    </row>
    <row r="16" spans="1:7" ht="9" customHeight="1">
      <c r="A16" s="127" t="s">
        <v>72</v>
      </c>
      <c r="B16" s="48"/>
      <c r="C16" s="14"/>
      <c r="D16" s="14"/>
      <c r="E16" s="14"/>
      <c r="F16" s="14"/>
      <c r="G16" s="443"/>
    </row>
    <row r="17" spans="1:7" ht="12" customHeight="1">
      <c r="A17" s="44" t="s">
        <v>73</v>
      </c>
      <c r="B17" s="47" t="s">
        <v>25</v>
      </c>
      <c r="C17" s="15">
        <f>SUM(C18:C26)</f>
        <v>2446188</v>
      </c>
      <c r="D17" s="15">
        <f>SUM(D18:D26)</f>
        <v>774719</v>
      </c>
      <c r="E17" s="15">
        <f>SUM(E18:E26)</f>
        <v>923355</v>
      </c>
      <c r="F17" s="15">
        <f>SUM(F18:F26)</f>
        <v>925503</v>
      </c>
      <c r="G17" s="442">
        <f t="shared" si="0"/>
        <v>100.23262992023653</v>
      </c>
    </row>
    <row r="18" spans="1:7" ht="12" customHeight="1">
      <c r="A18" s="44" t="s">
        <v>74</v>
      </c>
      <c r="B18" s="48" t="s">
        <v>26</v>
      </c>
      <c r="C18" s="14">
        <v>1399645</v>
      </c>
      <c r="D18" s="14">
        <v>771387</v>
      </c>
      <c r="E18" s="14">
        <f>762369+9018+4541</f>
        <v>775928</v>
      </c>
      <c r="F18" s="14">
        <f>612709-123187-87709</f>
        <v>401813</v>
      </c>
      <c r="G18" s="443">
        <f t="shared" si="0"/>
        <v>51.784830551288266</v>
      </c>
    </row>
    <row r="19" spans="1:7" ht="12" customHeight="1">
      <c r="A19" s="44" t="s">
        <v>75</v>
      </c>
      <c r="B19" s="48" t="s">
        <v>27</v>
      </c>
      <c r="C19" s="14">
        <v>148924</v>
      </c>
      <c r="D19" s="14"/>
      <c r="E19" s="14"/>
      <c r="F19" s="14"/>
      <c r="G19" s="443"/>
    </row>
    <row r="20" spans="1:7" ht="12" customHeight="1">
      <c r="A20" s="44" t="s">
        <v>76</v>
      </c>
      <c r="B20" s="48" t="s">
        <v>28</v>
      </c>
      <c r="C20" s="14">
        <v>55000</v>
      </c>
      <c r="D20" s="14"/>
      <c r="E20" s="503"/>
      <c r="F20" s="14"/>
      <c r="G20" s="443"/>
    </row>
    <row r="21" spans="1:7" ht="12" customHeight="1">
      <c r="A21" s="44" t="s">
        <v>77</v>
      </c>
      <c r="B21" s="48" t="s">
        <v>111</v>
      </c>
      <c r="C21" s="14">
        <v>252403</v>
      </c>
      <c r="D21" s="14"/>
      <c r="E21" s="14">
        <v>123187</v>
      </c>
      <c r="F21" s="14">
        <v>123187</v>
      </c>
      <c r="G21" s="443">
        <f t="shared" si="0"/>
        <v>100</v>
      </c>
    </row>
    <row r="22" spans="1:7" ht="12" customHeight="1">
      <c r="A22" s="44" t="s">
        <v>78</v>
      </c>
      <c r="B22" s="48" t="s">
        <v>112</v>
      </c>
      <c r="C22" s="49">
        <v>140749</v>
      </c>
      <c r="D22" s="49">
        <v>3332</v>
      </c>
      <c r="E22" s="14">
        <f>2856+476+5808+14647</f>
        <v>23787</v>
      </c>
      <c r="F22" s="49">
        <v>7474</v>
      </c>
      <c r="G22" s="443">
        <f t="shared" si="0"/>
        <v>31.42052381552949</v>
      </c>
    </row>
    <row r="23" spans="1:7" ht="12" customHeight="1">
      <c r="A23" s="44" t="s">
        <v>84</v>
      </c>
      <c r="B23" s="48" t="s">
        <v>410</v>
      </c>
      <c r="C23" s="14"/>
      <c r="D23" s="14"/>
      <c r="E23" s="14"/>
      <c r="F23" s="14">
        <v>304867</v>
      </c>
      <c r="G23" s="443"/>
    </row>
    <row r="24" spans="1:7" ht="12" customHeight="1">
      <c r="A24" s="44" t="s">
        <v>85</v>
      </c>
      <c r="B24" s="48" t="s">
        <v>491</v>
      </c>
      <c r="C24" s="503"/>
      <c r="D24" s="503"/>
      <c r="E24" s="503"/>
      <c r="F24" s="14">
        <v>87709</v>
      </c>
      <c r="G24" s="443"/>
    </row>
    <row r="25" spans="1:7" ht="12" customHeight="1">
      <c r="A25" s="44" t="s">
        <v>113</v>
      </c>
      <c r="B25" s="48" t="s">
        <v>480</v>
      </c>
      <c r="C25" s="14">
        <v>102904</v>
      </c>
      <c r="D25" s="14"/>
      <c r="E25" s="14">
        <v>453</v>
      </c>
      <c r="F25" s="14">
        <v>453</v>
      </c>
      <c r="G25" s="443">
        <f t="shared" si="0"/>
        <v>100</v>
      </c>
    </row>
    <row r="26" spans="1:7" ht="12" customHeight="1">
      <c r="A26" s="44" t="s">
        <v>114</v>
      </c>
      <c r="B26" s="48" t="s">
        <v>30</v>
      </c>
      <c r="C26" s="14">
        <v>346563</v>
      </c>
      <c r="D26" s="14"/>
      <c r="E26" s="14"/>
      <c r="F26" s="14"/>
      <c r="G26" s="443"/>
    </row>
    <row r="27" spans="1:7" ht="12" customHeight="1">
      <c r="A27" s="44" t="s">
        <v>115</v>
      </c>
      <c r="B27" s="47" t="s">
        <v>116</v>
      </c>
      <c r="C27" s="15">
        <f>SUM(C28:C31)</f>
        <v>300203</v>
      </c>
      <c r="D27" s="15">
        <f>SUM(D28:D31)</f>
        <v>95860</v>
      </c>
      <c r="E27" s="15">
        <f>SUM(E28:E31)</f>
        <v>95860</v>
      </c>
      <c r="F27" s="15">
        <f>SUM(F28:F31)</f>
        <v>40867</v>
      </c>
      <c r="G27" s="442">
        <f t="shared" si="0"/>
        <v>42.63196327978302</v>
      </c>
    </row>
    <row r="28" spans="1:7" ht="12" customHeight="1">
      <c r="A28" s="44" t="s">
        <v>117</v>
      </c>
      <c r="B28" s="48" t="s">
        <v>118</v>
      </c>
      <c r="C28" s="14">
        <f>5574+54727</f>
        <v>60301</v>
      </c>
      <c r="D28" s="14">
        <v>19000</v>
      </c>
      <c r="E28" s="14">
        <v>19000</v>
      </c>
      <c r="F28" s="14">
        <v>5923</v>
      </c>
      <c r="G28" s="443">
        <f t="shared" si="0"/>
        <v>31.173684210526314</v>
      </c>
    </row>
    <row r="29" spans="1:7" ht="12" customHeight="1">
      <c r="A29" s="44" t="s">
        <v>119</v>
      </c>
      <c r="B29" s="48" t="s">
        <v>120</v>
      </c>
      <c r="C29" s="14">
        <v>5793</v>
      </c>
      <c r="D29" s="14">
        <v>6860</v>
      </c>
      <c r="E29" s="14">
        <v>6860</v>
      </c>
      <c r="F29" s="14">
        <v>2419</v>
      </c>
      <c r="G29" s="443">
        <f t="shared" si="0"/>
        <v>35.262390670553934</v>
      </c>
    </row>
    <row r="30" spans="1:7" ht="12" customHeight="1">
      <c r="A30" s="44" t="s">
        <v>121</v>
      </c>
      <c r="B30" s="48" t="s">
        <v>31</v>
      </c>
      <c r="C30" s="14"/>
      <c r="D30" s="14"/>
      <c r="E30" s="14"/>
      <c r="F30" s="14"/>
      <c r="G30" s="443"/>
    </row>
    <row r="31" spans="1:7" ht="12" customHeight="1">
      <c r="A31" s="44" t="s">
        <v>122</v>
      </c>
      <c r="B31" s="48" t="s">
        <v>123</v>
      </c>
      <c r="C31" s="14">
        <v>234109</v>
      </c>
      <c r="D31" s="14">
        <v>70000</v>
      </c>
      <c r="E31" s="14">
        <v>70000</v>
      </c>
      <c r="F31" s="14">
        <v>32525</v>
      </c>
      <c r="G31" s="443">
        <f t="shared" si="0"/>
        <v>46.464285714285715</v>
      </c>
    </row>
    <row r="32" spans="1:8" s="16" customFormat="1" ht="12" customHeight="1">
      <c r="A32" s="44" t="s">
        <v>124</v>
      </c>
      <c r="B32" s="47" t="s">
        <v>32</v>
      </c>
      <c r="C32" s="15">
        <f>C33+C35</f>
        <v>1927879</v>
      </c>
      <c r="D32" s="15">
        <f>D33+D35</f>
        <v>968784</v>
      </c>
      <c r="E32" s="15">
        <f>E33+E35</f>
        <v>968784</v>
      </c>
      <c r="F32" s="15">
        <f>F33+F35</f>
        <v>284720</v>
      </c>
      <c r="G32" s="442">
        <f t="shared" si="0"/>
        <v>29.389420139060924</v>
      </c>
      <c r="H32" s="18"/>
    </row>
    <row r="33" spans="1:7" ht="12" customHeight="1">
      <c r="A33" s="44" t="s">
        <v>125</v>
      </c>
      <c r="B33" s="48" t="s">
        <v>33</v>
      </c>
      <c r="C33" s="14">
        <f>1720942+13279</f>
        <v>1734221</v>
      </c>
      <c r="D33" s="14">
        <v>965284</v>
      </c>
      <c r="E33" s="14">
        <f>770284-5000+200000</f>
        <v>965284</v>
      </c>
      <c r="F33" s="14">
        <v>278052</v>
      </c>
      <c r="G33" s="443">
        <f t="shared" si="0"/>
        <v>28.805201370788286</v>
      </c>
    </row>
    <row r="34" spans="1:7" ht="12" customHeight="1">
      <c r="A34" s="44" t="s">
        <v>126</v>
      </c>
      <c r="B34" s="47" t="s">
        <v>323</v>
      </c>
      <c r="C34" s="14">
        <v>1316762</v>
      </c>
      <c r="D34" s="14">
        <v>124500</v>
      </c>
      <c r="E34" s="14">
        <v>124500</v>
      </c>
      <c r="F34" s="14">
        <v>67376</v>
      </c>
      <c r="G34" s="443">
        <f t="shared" si="0"/>
        <v>54.11726907630522</v>
      </c>
    </row>
    <row r="35" spans="1:7" ht="12" customHeight="1">
      <c r="A35" s="44" t="s">
        <v>127</v>
      </c>
      <c r="B35" s="47" t="s">
        <v>250</v>
      </c>
      <c r="C35" s="14">
        <v>193658</v>
      </c>
      <c r="D35" s="14">
        <v>3500</v>
      </c>
      <c r="E35" s="14">
        <f>13500-10000</f>
        <v>3500</v>
      </c>
      <c r="F35" s="14">
        <v>6668</v>
      </c>
      <c r="G35" s="443">
        <f t="shared" si="0"/>
        <v>190.51428571428573</v>
      </c>
    </row>
    <row r="36" spans="1:7" ht="12" customHeight="1">
      <c r="A36" s="44" t="s">
        <v>128</v>
      </c>
      <c r="B36" s="47" t="s">
        <v>323</v>
      </c>
      <c r="C36" s="14">
        <v>100000</v>
      </c>
      <c r="D36" s="14"/>
      <c r="E36" s="14"/>
      <c r="F36" s="14"/>
      <c r="G36" s="443"/>
    </row>
    <row r="37" spans="1:7" ht="12" customHeight="1">
      <c r="A37" s="44" t="s">
        <v>129</v>
      </c>
      <c r="B37" s="47" t="s">
        <v>34</v>
      </c>
      <c r="C37" s="15">
        <f>C38+C39</f>
        <v>504909</v>
      </c>
      <c r="D37" s="15">
        <f>D38+D39</f>
        <v>1612936</v>
      </c>
      <c r="E37" s="15">
        <f>E38+E39</f>
        <v>1612936</v>
      </c>
      <c r="F37" s="15">
        <f>F38+F39</f>
        <v>496038</v>
      </c>
      <c r="G37" s="442">
        <f t="shared" si="0"/>
        <v>30.75373108418437</v>
      </c>
    </row>
    <row r="38" spans="1:7" ht="12" customHeight="1">
      <c r="A38" s="44" t="s">
        <v>130</v>
      </c>
      <c r="B38" s="48" t="s">
        <v>131</v>
      </c>
      <c r="C38" s="14">
        <v>51235</v>
      </c>
      <c r="D38" s="14"/>
      <c r="E38" s="14"/>
      <c r="F38" s="14">
        <v>31100</v>
      </c>
      <c r="G38" s="443"/>
    </row>
    <row r="39" spans="1:7" ht="12" customHeight="1">
      <c r="A39" s="44" t="s">
        <v>132</v>
      </c>
      <c r="B39" s="48" t="s">
        <v>133</v>
      </c>
      <c r="C39" s="14">
        <v>453674</v>
      </c>
      <c r="D39" s="14">
        <v>1612936</v>
      </c>
      <c r="E39" s="14">
        <f>1561358+51578</f>
        <v>1612936</v>
      </c>
      <c r="F39" s="14">
        <v>464938</v>
      </c>
      <c r="G39" s="443">
        <f t="shared" si="0"/>
        <v>28.825570264412224</v>
      </c>
    </row>
    <row r="40" spans="1:7" ht="12" customHeight="1">
      <c r="A40" s="44" t="s">
        <v>134</v>
      </c>
      <c r="B40" s="47" t="s">
        <v>35</v>
      </c>
      <c r="C40" s="15">
        <v>26682</v>
      </c>
      <c r="D40" s="15">
        <v>6500</v>
      </c>
      <c r="E40" s="15">
        <v>6500</v>
      </c>
      <c r="F40" s="15">
        <v>2773</v>
      </c>
      <c r="G40" s="442">
        <f t="shared" si="0"/>
        <v>42.66153846153846</v>
      </c>
    </row>
    <row r="41" spans="1:7" ht="12" customHeight="1" thickBot="1">
      <c r="A41" s="127" t="s">
        <v>135</v>
      </c>
      <c r="B41" s="50"/>
      <c r="C41" s="130"/>
      <c r="D41" s="130"/>
      <c r="E41" s="130"/>
      <c r="F41" s="130"/>
      <c r="G41" s="505"/>
    </row>
    <row r="42" spans="1:8" s="554" customFormat="1" ht="18.75" customHeight="1" thickBot="1">
      <c r="A42" s="549" t="s">
        <v>136</v>
      </c>
      <c r="B42" s="561" t="s">
        <v>137</v>
      </c>
      <c r="C42" s="562">
        <f>SUM(C5+C17+C27+C32+C37+C40)</f>
        <v>6921151</v>
      </c>
      <c r="D42" s="562">
        <f>SUM(D5+D17+D27+D32+D37+D40)</f>
        <v>4690957</v>
      </c>
      <c r="E42" s="563">
        <f>SUM(E5+E17+E27+E32+E37+E40)</f>
        <v>4839593</v>
      </c>
      <c r="F42" s="562">
        <f>SUM(F5+F17+F27+F32+F37+F40)</f>
        <v>2496052</v>
      </c>
      <c r="G42" s="564">
        <f t="shared" si="0"/>
        <v>51.57565935813197</v>
      </c>
      <c r="H42" s="553"/>
    </row>
    <row r="43" spans="1:7" ht="12" customHeight="1">
      <c r="A43" s="44" t="s">
        <v>138</v>
      </c>
      <c r="B43" s="45" t="s">
        <v>139</v>
      </c>
      <c r="C43" s="46">
        <f>SUM(C44:C45)</f>
        <v>1269575</v>
      </c>
      <c r="D43" s="46">
        <f>SUM(D44:D45)</f>
        <v>1200000</v>
      </c>
      <c r="E43" s="506">
        <f>SUM(E44:E45)</f>
        <v>1200000</v>
      </c>
      <c r="F43" s="46">
        <f>SUM(F44:F45)</f>
        <v>81964</v>
      </c>
      <c r="G43" s="441">
        <f t="shared" si="0"/>
        <v>6.830333333333333</v>
      </c>
    </row>
    <row r="44" spans="1:7" ht="12" customHeight="1">
      <c r="A44" s="44" t="s">
        <v>140</v>
      </c>
      <c r="B44" s="48" t="s">
        <v>141</v>
      </c>
      <c r="C44" s="14">
        <f>1055399+1164</f>
        <v>1056563</v>
      </c>
      <c r="D44" s="14">
        <v>200000</v>
      </c>
      <c r="E44" s="14">
        <v>200000</v>
      </c>
      <c r="F44" s="14"/>
      <c r="G44" s="443"/>
    </row>
    <row r="45" spans="1:7" ht="12" customHeight="1">
      <c r="A45" s="44" t="s">
        <v>142</v>
      </c>
      <c r="B45" s="48" t="s">
        <v>143</v>
      </c>
      <c r="C45" s="14">
        <v>213012</v>
      </c>
      <c r="D45" s="14">
        <v>1000000</v>
      </c>
      <c r="E45" s="14">
        <v>1000000</v>
      </c>
      <c r="F45" s="14">
        <v>81964</v>
      </c>
      <c r="G45" s="443">
        <f t="shared" si="0"/>
        <v>8.196399999999999</v>
      </c>
    </row>
    <row r="46" spans="1:7" ht="12" customHeight="1">
      <c r="A46" s="44" t="s">
        <v>144</v>
      </c>
      <c r="B46" s="48" t="s">
        <v>145</v>
      </c>
      <c r="C46" s="14"/>
      <c r="D46" s="14"/>
      <c r="E46" s="14"/>
      <c r="F46" s="14"/>
      <c r="G46" s="443"/>
    </row>
    <row r="47" spans="1:7" ht="10.5" customHeight="1">
      <c r="A47" s="127" t="s">
        <v>146</v>
      </c>
      <c r="B47" s="48"/>
      <c r="C47" s="14"/>
      <c r="D47" s="14"/>
      <c r="E47" s="14"/>
      <c r="F47" s="14"/>
      <c r="G47" s="443"/>
    </row>
    <row r="48" spans="1:7" ht="12" customHeight="1">
      <c r="A48" s="44" t="s">
        <v>147</v>
      </c>
      <c r="B48" s="47" t="s">
        <v>148</v>
      </c>
      <c r="C48" s="15"/>
      <c r="D48" s="15">
        <f>SUM(D49:D50)</f>
        <v>0</v>
      </c>
      <c r="E48" s="15"/>
      <c r="F48" s="15">
        <f>SUM(F49:F50)</f>
        <v>0</v>
      </c>
      <c r="G48" s="443"/>
    </row>
    <row r="49" spans="1:7" ht="12" customHeight="1">
      <c r="A49" s="44" t="s">
        <v>149</v>
      </c>
      <c r="B49" s="48" t="s">
        <v>150</v>
      </c>
      <c r="C49" s="14"/>
      <c r="D49" s="14"/>
      <c r="E49" s="14"/>
      <c r="F49" s="14"/>
      <c r="G49" s="443"/>
    </row>
    <row r="50" spans="1:7" ht="12" customHeight="1">
      <c r="A50" s="44" t="s">
        <v>151</v>
      </c>
      <c r="B50" s="48" t="s">
        <v>152</v>
      </c>
      <c r="C50" s="14"/>
      <c r="D50" s="14"/>
      <c r="E50" s="14"/>
      <c r="F50" s="14"/>
      <c r="G50" s="443"/>
    </row>
    <row r="51" spans="1:7" ht="12" customHeight="1">
      <c r="A51" s="44" t="s">
        <v>153</v>
      </c>
      <c r="B51" s="47" t="s">
        <v>154</v>
      </c>
      <c r="C51" s="15"/>
      <c r="D51" s="15"/>
      <c r="E51" s="15"/>
      <c r="F51" s="15"/>
      <c r="G51" s="443"/>
    </row>
    <row r="52" spans="1:7" ht="12" customHeight="1">
      <c r="A52" s="44" t="s">
        <v>155</v>
      </c>
      <c r="B52" s="47" t="s">
        <v>156</v>
      </c>
      <c r="C52" s="15">
        <f>SUM(C53:C55)</f>
        <v>149725</v>
      </c>
      <c r="D52" s="15">
        <f>SUM(D53:D55)</f>
        <v>0</v>
      </c>
      <c r="E52" s="15">
        <f>SUM(E53:E55)</f>
        <v>0</v>
      </c>
      <c r="F52" s="15">
        <f>SUM(F53:F55)</f>
        <v>1091265</v>
      </c>
      <c r="G52" s="442"/>
    </row>
    <row r="53" spans="1:7" ht="12" customHeight="1">
      <c r="A53" s="44" t="s">
        <v>157</v>
      </c>
      <c r="B53" s="48" t="s">
        <v>485</v>
      </c>
      <c r="C53" s="14"/>
      <c r="D53" s="14"/>
      <c r="E53" s="14"/>
      <c r="F53" s="14">
        <v>251265</v>
      </c>
      <c r="G53" s="443"/>
    </row>
    <row r="54" spans="1:7" ht="12" customHeight="1">
      <c r="A54" s="44" t="s">
        <v>158</v>
      </c>
      <c r="B54" s="48" t="s">
        <v>159</v>
      </c>
      <c r="C54" s="14">
        <v>149725</v>
      </c>
      <c r="D54" s="14"/>
      <c r="E54" s="14"/>
      <c r="F54" s="14">
        <v>840000</v>
      </c>
      <c r="G54" s="443"/>
    </row>
    <row r="55" spans="1:7" ht="12" customHeight="1">
      <c r="A55" s="44" t="s">
        <v>160</v>
      </c>
      <c r="B55" s="48" t="s">
        <v>161</v>
      </c>
      <c r="C55" s="14"/>
      <c r="D55" s="14"/>
      <c r="E55" s="14"/>
      <c r="F55" s="14"/>
      <c r="G55" s="443"/>
    </row>
    <row r="56" spans="1:7" ht="12" customHeight="1">
      <c r="A56" s="44" t="s">
        <v>162</v>
      </c>
      <c r="B56" s="47" t="s">
        <v>163</v>
      </c>
      <c r="C56" s="15">
        <v>-196108</v>
      </c>
      <c r="D56" s="15"/>
      <c r="E56" s="14"/>
      <c r="F56" s="15">
        <v>-6080</v>
      </c>
      <c r="G56" s="442"/>
    </row>
    <row r="57" spans="1:7" ht="11.25" customHeight="1" thickBot="1">
      <c r="A57" s="127" t="s">
        <v>164</v>
      </c>
      <c r="B57" s="50"/>
      <c r="C57" s="17"/>
      <c r="D57" s="17"/>
      <c r="E57" s="17"/>
      <c r="F57" s="17"/>
      <c r="G57" s="505"/>
    </row>
    <row r="58" spans="1:7" ht="18.75" customHeight="1" thickBot="1">
      <c r="A58" s="44" t="s">
        <v>165</v>
      </c>
      <c r="B58" s="372" t="s">
        <v>166</v>
      </c>
      <c r="C58" s="373">
        <f>SUM(C48+C51+C52+C56)</f>
        <v>-46383</v>
      </c>
      <c r="D58" s="373">
        <f>SUM(D48+D51+D52+D56)</f>
        <v>0</v>
      </c>
      <c r="E58" s="375">
        <f>SUM(E48+E51+E52+E56)</f>
        <v>0</v>
      </c>
      <c r="F58" s="373">
        <f>SUM(F48+F51+F52+F56)</f>
        <v>1085185</v>
      </c>
      <c r="G58" s="374"/>
    </row>
    <row r="59" spans="1:7" ht="18.75" customHeight="1" thickBot="1">
      <c r="A59" s="51" t="s">
        <v>167</v>
      </c>
      <c r="B59" s="74" t="s">
        <v>168</v>
      </c>
      <c r="C59" s="57">
        <f>SUM(C42+C43+C58)</f>
        <v>8144343</v>
      </c>
      <c r="D59" s="57">
        <f>SUM(D42+D43+D58)</f>
        <v>5890957</v>
      </c>
      <c r="E59" s="57">
        <f>SUM(E42+E43+E58)</f>
        <v>6039593</v>
      </c>
      <c r="F59" s="57">
        <f>SUM(F42+F43+F58)</f>
        <v>3663201</v>
      </c>
      <c r="G59" s="377">
        <f t="shared" si="0"/>
        <v>60.6531102344148</v>
      </c>
    </row>
    <row r="60" spans="1:6" ht="12.75">
      <c r="A60" s="52"/>
      <c r="C60" s="53"/>
      <c r="D60" s="53"/>
      <c r="E60" s="53"/>
      <c r="F60" s="53"/>
    </row>
    <row r="61" spans="1:6" ht="15">
      <c r="A61" s="574" t="s">
        <v>169</v>
      </c>
      <c r="B61" s="574"/>
      <c r="C61" s="574"/>
      <c r="D61" s="574"/>
      <c r="E61" s="574"/>
      <c r="F61" s="574"/>
    </row>
    <row r="62" spans="1:6" ht="13.5" thickBot="1">
      <c r="A62" s="52"/>
      <c r="B62" s="42"/>
      <c r="C62" s="54"/>
      <c r="D62" s="54"/>
      <c r="E62" s="54"/>
      <c r="F62" s="82"/>
    </row>
    <row r="63" spans="1:7" ht="13.5" thickBot="1">
      <c r="A63" s="40"/>
      <c r="B63" s="41" t="s">
        <v>62</v>
      </c>
      <c r="C63" s="43" t="s">
        <v>63</v>
      </c>
      <c r="D63" s="43" t="s">
        <v>64</v>
      </c>
      <c r="E63" s="43" t="s">
        <v>65</v>
      </c>
      <c r="F63" s="365" t="s">
        <v>66</v>
      </c>
      <c r="G63" s="366" t="s">
        <v>67</v>
      </c>
    </row>
    <row r="64" spans="1:8" s="510" customFormat="1" ht="35.25" customHeight="1" thickBot="1">
      <c r="A64" s="507"/>
      <c r="B64" s="508" t="s">
        <v>170</v>
      </c>
      <c r="C64" s="367" t="s">
        <v>382</v>
      </c>
      <c r="D64" s="367" t="s">
        <v>380</v>
      </c>
      <c r="E64" s="367" t="s">
        <v>482</v>
      </c>
      <c r="F64" s="368" t="s">
        <v>381</v>
      </c>
      <c r="G64" s="446" t="s">
        <v>41</v>
      </c>
      <c r="H64" s="509"/>
    </row>
    <row r="65" spans="1:7" ht="12.75">
      <c r="A65" s="131" t="s">
        <v>171</v>
      </c>
      <c r="B65" s="45" t="s">
        <v>20</v>
      </c>
      <c r="C65" s="46">
        <f>SUM(C66:C70)</f>
        <v>6359917</v>
      </c>
      <c r="D65" s="46">
        <f>SUM(D66:D69)</f>
        <v>3012428</v>
      </c>
      <c r="E65" s="46">
        <f>SUM(E66:E69)</f>
        <v>3012428</v>
      </c>
      <c r="F65" s="46">
        <f>SUM(F66:F69)</f>
        <v>1464358</v>
      </c>
      <c r="G65" s="441">
        <f>F65/E65*100</f>
        <v>48.6105560033302</v>
      </c>
    </row>
    <row r="66" spans="1:7" ht="12.75">
      <c r="A66" s="44" t="s">
        <v>172</v>
      </c>
      <c r="B66" s="48" t="s">
        <v>21</v>
      </c>
      <c r="C66" s="14">
        <f>2461382+91226</f>
        <v>2552608</v>
      </c>
      <c r="D66" s="14">
        <v>687606</v>
      </c>
      <c r="E66" s="14">
        <v>687606</v>
      </c>
      <c r="F66" s="14">
        <v>369572</v>
      </c>
      <c r="G66" s="443">
        <f>F66/E66*100</f>
        <v>53.747640363813</v>
      </c>
    </row>
    <row r="67" spans="1:7" ht="12.75">
      <c r="A67" s="44" t="s">
        <v>173</v>
      </c>
      <c r="B67" s="48" t="s">
        <v>22</v>
      </c>
      <c r="C67" s="14">
        <v>2290774</v>
      </c>
      <c r="D67" s="14">
        <v>130000</v>
      </c>
      <c r="E67" s="14">
        <v>130000</v>
      </c>
      <c r="F67" s="14">
        <v>69070</v>
      </c>
      <c r="G67" s="443">
        <f aca="true" t="shared" si="1" ref="G67:G78">F67/E67*100</f>
        <v>53.130769230769225</v>
      </c>
    </row>
    <row r="68" spans="1:7" ht="12.75">
      <c r="A68" s="44" t="s">
        <v>174</v>
      </c>
      <c r="B68" s="48" t="s">
        <v>325</v>
      </c>
      <c r="C68" s="14">
        <v>627115</v>
      </c>
      <c r="D68" s="14">
        <v>1434287</v>
      </c>
      <c r="E68" s="14">
        <f>1188114+7952+9861+3360+200000+25000</f>
        <v>1434287</v>
      </c>
      <c r="F68" s="14">
        <f>733489-41493</f>
        <v>691996</v>
      </c>
      <c r="G68" s="443">
        <f t="shared" si="1"/>
        <v>48.24668981870435</v>
      </c>
    </row>
    <row r="69" spans="1:7" ht="12.75">
      <c r="A69" s="44" t="s">
        <v>175</v>
      </c>
      <c r="B69" s="48" t="s">
        <v>23</v>
      </c>
      <c r="C69" s="14">
        <v>889420</v>
      </c>
      <c r="D69" s="14">
        <v>760535</v>
      </c>
      <c r="E69" s="14">
        <f>768487-7952</f>
        <v>760535</v>
      </c>
      <c r="F69" s="364">
        <v>333720</v>
      </c>
      <c r="G69" s="443">
        <f t="shared" si="1"/>
        <v>43.87963736054225</v>
      </c>
    </row>
    <row r="70" spans="1:7" ht="11.25" customHeight="1">
      <c r="A70" s="44" t="s">
        <v>176</v>
      </c>
      <c r="B70" s="48" t="s">
        <v>24</v>
      </c>
      <c r="C70" s="364"/>
      <c r="D70" s="14"/>
      <c r="E70" s="14"/>
      <c r="F70" s="14"/>
      <c r="G70" s="443"/>
    </row>
    <row r="71" spans="1:8" ht="12.75">
      <c r="A71" s="44" t="s">
        <v>177</v>
      </c>
      <c r="B71" s="48" t="s">
        <v>179</v>
      </c>
      <c r="C71" s="14">
        <v>2790547</v>
      </c>
      <c r="D71" s="14">
        <v>1062859</v>
      </c>
      <c r="E71" s="14">
        <v>1062859</v>
      </c>
      <c r="F71" s="14">
        <v>473503</v>
      </c>
      <c r="G71" s="443">
        <f t="shared" si="1"/>
        <v>44.54993559823081</v>
      </c>
      <c r="H71" s="19"/>
    </row>
    <row r="72" spans="1:8" ht="12.75">
      <c r="A72" s="44" t="s">
        <v>178</v>
      </c>
      <c r="B72" s="48" t="s">
        <v>181</v>
      </c>
      <c r="C72" s="14">
        <v>722304</v>
      </c>
      <c r="D72" s="14">
        <v>252255</v>
      </c>
      <c r="E72" s="14">
        <v>252255</v>
      </c>
      <c r="F72" s="14">
        <v>108128</v>
      </c>
      <c r="G72" s="443">
        <f t="shared" si="1"/>
        <v>42.864561653881985</v>
      </c>
      <c r="H72" s="19"/>
    </row>
    <row r="73" spans="1:8" ht="12.75">
      <c r="A73" s="44" t="s">
        <v>180</v>
      </c>
      <c r="B73" s="48" t="s">
        <v>183</v>
      </c>
      <c r="C73" s="14">
        <v>91226</v>
      </c>
      <c r="D73" s="14">
        <v>700</v>
      </c>
      <c r="E73" s="14">
        <v>700</v>
      </c>
      <c r="F73" s="14">
        <v>520</v>
      </c>
      <c r="G73" s="443">
        <f t="shared" si="1"/>
        <v>74.28571428571429</v>
      </c>
      <c r="H73" s="19"/>
    </row>
    <row r="74" spans="1:8" ht="12.75">
      <c r="A74" s="44" t="s">
        <v>182</v>
      </c>
      <c r="B74" s="48" t="s">
        <v>185</v>
      </c>
      <c r="C74" s="14">
        <v>1629675</v>
      </c>
      <c r="D74" s="14">
        <v>997463</v>
      </c>
      <c r="E74" s="14">
        <f>664960-362040-1850+460549-30000+9861-1977+3360+200000+25000+29600</f>
        <v>997463</v>
      </c>
      <c r="F74" s="14">
        <v>594554</v>
      </c>
      <c r="G74" s="443">
        <f t="shared" si="1"/>
        <v>59.60662200001403</v>
      </c>
      <c r="H74" s="19"/>
    </row>
    <row r="75" spans="1:8" ht="12.75">
      <c r="A75" s="44" t="s">
        <v>184</v>
      </c>
      <c r="B75" s="48" t="s">
        <v>187</v>
      </c>
      <c r="C75" s="14"/>
      <c r="D75" s="14"/>
      <c r="E75" s="503"/>
      <c r="F75" s="14"/>
      <c r="G75" s="443"/>
      <c r="H75" s="19"/>
    </row>
    <row r="76" spans="1:8" ht="12.75">
      <c r="A76" s="44" t="s">
        <v>186</v>
      </c>
      <c r="B76" s="48" t="s">
        <v>189</v>
      </c>
      <c r="C76" s="14">
        <v>43930</v>
      </c>
      <c r="D76" s="14">
        <v>30000</v>
      </c>
      <c r="E76" s="14">
        <v>30000</v>
      </c>
      <c r="F76" s="14">
        <v>12857</v>
      </c>
      <c r="G76" s="443">
        <f t="shared" si="1"/>
        <v>42.85666666666666</v>
      </c>
      <c r="H76" s="19"/>
    </row>
    <row r="77" spans="1:8" ht="12.75">
      <c r="A77" s="44" t="s">
        <v>188</v>
      </c>
      <c r="B77" s="48" t="s">
        <v>191</v>
      </c>
      <c r="C77" s="14">
        <f>100978-38636</f>
        <v>62342</v>
      </c>
      <c r="D77" s="14">
        <v>307111</v>
      </c>
      <c r="E77" s="14">
        <f>2600+332261+1850-29600</f>
        <v>307111</v>
      </c>
      <c r="F77" s="14">
        <v>131845</v>
      </c>
      <c r="G77" s="443">
        <f t="shared" si="1"/>
        <v>42.93073188521414</v>
      </c>
      <c r="H77" s="19"/>
    </row>
    <row r="78" spans="1:8" ht="12.75">
      <c r="A78" s="44" t="s">
        <v>190</v>
      </c>
      <c r="B78" s="55" t="s">
        <v>193</v>
      </c>
      <c r="C78" s="14">
        <v>356050</v>
      </c>
      <c r="D78" s="14">
        <v>362040</v>
      </c>
      <c r="E78" s="14">
        <v>362040</v>
      </c>
      <c r="F78" s="14">
        <v>142951</v>
      </c>
      <c r="G78" s="443">
        <f t="shared" si="1"/>
        <v>39.48486355098884</v>
      </c>
      <c r="H78" s="19"/>
    </row>
    <row r="79" spans="1:8" ht="12.75">
      <c r="A79" s="44" t="s">
        <v>192</v>
      </c>
      <c r="B79" s="55" t="s">
        <v>195</v>
      </c>
      <c r="C79" s="14">
        <v>20000</v>
      </c>
      <c r="D79" s="14"/>
      <c r="E79" s="14"/>
      <c r="F79" s="14"/>
      <c r="G79" s="443"/>
      <c r="H79" s="19"/>
    </row>
    <row r="80" spans="1:8" ht="12.75">
      <c r="A80" s="44" t="s">
        <v>194</v>
      </c>
      <c r="B80" s="55" t="s">
        <v>197</v>
      </c>
      <c r="C80" s="14">
        <v>643843</v>
      </c>
      <c r="D80" s="14"/>
      <c r="E80" s="14"/>
      <c r="F80" s="14"/>
      <c r="G80" s="443"/>
      <c r="H80" s="19"/>
    </row>
    <row r="81" spans="1:7" ht="12.75">
      <c r="A81" s="44" t="s">
        <v>196</v>
      </c>
      <c r="B81" s="55" t="s">
        <v>199</v>
      </c>
      <c r="C81" s="14"/>
      <c r="D81" s="14"/>
      <c r="E81" s="14"/>
      <c r="F81" s="14"/>
      <c r="G81" s="443"/>
    </row>
    <row r="82" spans="1:7" ht="12" customHeight="1">
      <c r="A82" s="44" t="s">
        <v>198</v>
      </c>
      <c r="B82" s="55"/>
      <c r="C82" s="14"/>
      <c r="D82" s="14"/>
      <c r="E82" s="14"/>
      <c r="F82" s="14"/>
      <c r="G82" s="443"/>
    </row>
    <row r="83" spans="1:7" ht="12.75">
      <c r="A83" s="44" t="s">
        <v>200</v>
      </c>
      <c r="B83" s="47" t="s">
        <v>29</v>
      </c>
      <c r="C83" s="15">
        <f>SUM(C84:C90)</f>
        <v>1159488</v>
      </c>
      <c r="D83" s="15">
        <f>SUM(D84:D90)</f>
        <v>2008186</v>
      </c>
      <c r="E83" s="15">
        <f>SUM(E84:E90)</f>
        <v>2008186</v>
      </c>
      <c r="F83" s="15">
        <f>SUM(F84:F90)</f>
        <v>571843</v>
      </c>
      <c r="G83" s="442">
        <f>F83/E83*100</f>
        <v>28.475599371771338</v>
      </c>
    </row>
    <row r="84" spans="1:7" ht="12.75">
      <c r="A84" s="44" t="s">
        <v>201</v>
      </c>
      <c r="B84" s="48" t="s">
        <v>203</v>
      </c>
      <c r="C84" s="14">
        <v>723187</v>
      </c>
      <c r="D84" s="14">
        <v>1538839</v>
      </c>
      <c r="E84" s="14">
        <f>1535839+3000</f>
        <v>1538839</v>
      </c>
      <c r="F84" s="14">
        <v>158583</v>
      </c>
      <c r="G84" s="443">
        <f>F84/E84*100</f>
        <v>10.30536657831001</v>
      </c>
    </row>
    <row r="85" spans="1:7" ht="12.75">
      <c r="A85" s="44" t="s">
        <v>202</v>
      </c>
      <c r="B85" s="48" t="s">
        <v>205</v>
      </c>
      <c r="C85" s="14">
        <v>269922</v>
      </c>
      <c r="D85" s="14">
        <v>212144</v>
      </c>
      <c r="E85" s="14">
        <f>215144-3000</f>
        <v>212144</v>
      </c>
      <c r="F85" s="14">
        <v>272826</v>
      </c>
      <c r="G85" s="443">
        <f>F85/E85*100</f>
        <v>128.60415566784826</v>
      </c>
    </row>
    <row r="86" spans="1:7" ht="12.75">
      <c r="A86" s="44" t="s">
        <v>204</v>
      </c>
      <c r="B86" s="55" t="s">
        <v>207</v>
      </c>
      <c r="C86" s="14">
        <v>95583</v>
      </c>
      <c r="D86" s="14">
        <v>70000</v>
      </c>
      <c r="E86" s="14">
        <v>70000</v>
      </c>
      <c r="F86" s="14">
        <v>41493</v>
      </c>
      <c r="G86" s="443">
        <f>F86/E86*100</f>
        <v>59.27571428571429</v>
      </c>
    </row>
    <row r="87" spans="1:7" ht="12.75">
      <c r="A87" s="44" t="s">
        <v>206</v>
      </c>
      <c r="B87" s="48" t="s">
        <v>209</v>
      </c>
      <c r="C87" s="14">
        <v>9960</v>
      </c>
      <c r="D87" s="14"/>
      <c r="E87" s="14"/>
      <c r="F87" s="14">
        <v>6740</v>
      </c>
      <c r="G87" s="443"/>
    </row>
    <row r="88" spans="1:7" ht="12.75">
      <c r="A88" s="44" t="s">
        <v>208</v>
      </c>
      <c r="B88" s="55" t="s">
        <v>211</v>
      </c>
      <c r="C88" s="14">
        <v>2100</v>
      </c>
      <c r="D88" s="14">
        <v>187203</v>
      </c>
      <c r="E88" s="14">
        <v>187203</v>
      </c>
      <c r="F88" s="14">
        <v>91701</v>
      </c>
      <c r="G88" s="443">
        <f>F88/E88*100</f>
        <v>48.98479191038605</v>
      </c>
    </row>
    <row r="89" spans="1:7" ht="12.75">
      <c r="A89" s="44" t="s">
        <v>210</v>
      </c>
      <c r="B89" s="48" t="s">
        <v>213</v>
      </c>
      <c r="C89" s="14"/>
      <c r="D89" s="14"/>
      <c r="E89" s="14"/>
      <c r="F89" s="14"/>
      <c r="G89" s="443"/>
    </row>
    <row r="90" spans="1:7" ht="12.75">
      <c r="A90" s="44" t="s">
        <v>212</v>
      </c>
      <c r="B90" s="55" t="s">
        <v>215</v>
      </c>
      <c r="C90" s="14">
        <v>58736</v>
      </c>
      <c r="D90" s="14"/>
      <c r="E90" s="14"/>
      <c r="F90" s="14">
        <v>500</v>
      </c>
      <c r="G90" s="443"/>
    </row>
    <row r="91" spans="1:7" ht="12.75">
      <c r="A91" s="44" t="s">
        <v>214</v>
      </c>
      <c r="B91" s="55" t="s">
        <v>217</v>
      </c>
      <c r="C91" s="14"/>
      <c r="D91" s="14"/>
      <c r="E91" s="14"/>
      <c r="F91" s="14"/>
      <c r="G91" s="443"/>
    </row>
    <row r="92" spans="1:7" ht="11.25" customHeight="1">
      <c r="A92" s="44" t="s">
        <v>216</v>
      </c>
      <c r="B92" s="55"/>
      <c r="C92" s="14"/>
      <c r="D92" s="14"/>
      <c r="E92" s="14"/>
      <c r="F92" s="14"/>
      <c r="G92" s="443"/>
    </row>
    <row r="93" spans="1:7" ht="12.75">
      <c r="A93" s="44" t="s">
        <v>218</v>
      </c>
      <c r="B93" s="47" t="s">
        <v>220</v>
      </c>
      <c r="C93" s="15">
        <f>SUM(C94:C96)</f>
        <v>0</v>
      </c>
      <c r="D93" s="15">
        <f>SUM(D94:D96)</f>
        <v>775153</v>
      </c>
      <c r="E93" s="15">
        <f>SUM(E94:E96)</f>
        <v>923789</v>
      </c>
      <c r="F93" s="15">
        <f>SUM(F94:F96)</f>
        <v>0</v>
      </c>
      <c r="G93" s="442">
        <f>F93/E93*100</f>
        <v>0</v>
      </c>
    </row>
    <row r="94" spans="1:7" ht="12.75">
      <c r="A94" s="44" t="s">
        <v>219</v>
      </c>
      <c r="B94" s="48" t="s">
        <v>53</v>
      </c>
      <c r="C94" s="14"/>
      <c r="D94" s="14"/>
      <c r="E94" s="14"/>
      <c r="F94" s="14"/>
      <c r="G94" s="443"/>
    </row>
    <row r="95" spans="1:7" ht="12.75">
      <c r="A95" s="44" t="s">
        <v>221</v>
      </c>
      <c r="B95" s="48" t="s">
        <v>54</v>
      </c>
      <c r="C95" s="14">
        <v>0</v>
      </c>
      <c r="D95" s="14">
        <v>61083</v>
      </c>
      <c r="E95" s="14">
        <f>17436+5000-9861-2342+50850+4541+453+5808+123187+14647</f>
        <v>209719</v>
      </c>
      <c r="F95" s="14"/>
      <c r="G95" s="443"/>
    </row>
    <row r="96" spans="1:7" ht="12.75">
      <c r="A96" s="44" t="s">
        <v>222</v>
      </c>
      <c r="B96" s="48" t="s">
        <v>55</v>
      </c>
      <c r="C96" s="14">
        <v>0</v>
      </c>
      <c r="D96" s="14">
        <v>714070</v>
      </c>
      <c r="E96" s="14">
        <f>714070</f>
        <v>714070</v>
      </c>
      <c r="F96" s="14"/>
      <c r="G96" s="443"/>
    </row>
    <row r="97" spans="1:7" ht="13.5" thickBot="1">
      <c r="A97" s="44" t="s">
        <v>223</v>
      </c>
      <c r="B97" s="50" t="s">
        <v>225</v>
      </c>
      <c r="C97" s="17"/>
      <c r="D97" s="17"/>
      <c r="E97" s="17"/>
      <c r="F97" s="17"/>
      <c r="G97" s="444"/>
    </row>
    <row r="98" spans="1:8" s="554" customFormat="1" ht="18.75" customHeight="1" thickBot="1">
      <c r="A98" s="549" t="s">
        <v>224</v>
      </c>
      <c r="B98" s="550" t="s">
        <v>227</v>
      </c>
      <c r="C98" s="551">
        <f>SUM(C65+C83+C93+C97)</f>
        <v>7519405</v>
      </c>
      <c r="D98" s="551">
        <f>SUM(D65+D83+D93+D97)</f>
        <v>5795767</v>
      </c>
      <c r="E98" s="552">
        <f>SUM(E65+E83+E93+E97)</f>
        <v>5944403</v>
      </c>
      <c r="F98" s="551">
        <f>SUM(F65+F83+F93+F97)</f>
        <v>2036201</v>
      </c>
      <c r="G98" s="548">
        <f>F98/E98*100</f>
        <v>34.25408741634779</v>
      </c>
      <c r="H98" s="553"/>
    </row>
    <row r="99" spans="1:7" ht="12.75">
      <c r="A99" s="44" t="s">
        <v>226</v>
      </c>
      <c r="B99" s="45" t="s">
        <v>229</v>
      </c>
      <c r="C99" s="46">
        <f>SUM(C100:C104)</f>
        <v>216096</v>
      </c>
      <c r="D99" s="46">
        <f>SUM(D100:D104)</f>
        <v>95190</v>
      </c>
      <c r="E99" s="46">
        <f>SUM(E100:E104)</f>
        <v>95190</v>
      </c>
      <c r="F99" s="46">
        <f>SUM(F100:F104)</f>
        <v>1592341</v>
      </c>
      <c r="G99" s="441">
        <f>F99/E99*100</f>
        <v>1672.8028154217882</v>
      </c>
    </row>
    <row r="100" spans="1:7" ht="12.75">
      <c r="A100" s="44" t="s">
        <v>228</v>
      </c>
      <c r="B100" s="48" t="s">
        <v>231</v>
      </c>
      <c r="C100" s="14">
        <v>136096</v>
      </c>
      <c r="D100" s="14"/>
      <c r="E100" s="14"/>
      <c r="F100" s="14">
        <v>342393</v>
      </c>
      <c r="G100" s="443"/>
    </row>
    <row r="101" spans="1:7" ht="12.75">
      <c r="A101" s="44" t="s">
        <v>230</v>
      </c>
      <c r="B101" s="48" t="s">
        <v>233</v>
      </c>
      <c r="C101" s="14">
        <v>80000</v>
      </c>
      <c r="D101" s="14">
        <v>95190</v>
      </c>
      <c r="E101" s="14">
        <f>146040-50850</f>
        <v>95190</v>
      </c>
      <c r="F101" s="14">
        <v>328598</v>
      </c>
      <c r="G101" s="443"/>
    </row>
    <row r="102" spans="1:7" ht="12.75">
      <c r="A102" s="44" t="s">
        <v>232</v>
      </c>
      <c r="B102" s="48" t="s">
        <v>235</v>
      </c>
      <c r="C102" s="14"/>
      <c r="D102" s="14"/>
      <c r="E102" s="14"/>
      <c r="F102" s="14">
        <v>871337</v>
      </c>
      <c r="G102" s="443"/>
    </row>
    <row r="103" spans="1:7" ht="12.75">
      <c r="A103" s="44" t="s">
        <v>234</v>
      </c>
      <c r="B103" s="48" t="s">
        <v>486</v>
      </c>
      <c r="C103" s="14"/>
      <c r="D103" s="14"/>
      <c r="E103" s="14"/>
      <c r="F103" s="14">
        <v>50013</v>
      </c>
      <c r="G103" s="443"/>
    </row>
    <row r="104" spans="1:7" ht="12.75" customHeight="1">
      <c r="A104" s="44" t="s">
        <v>236</v>
      </c>
      <c r="B104" s="56" t="s">
        <v>237</v>
      </c>
      <c r="C104" s="14"/>
      <c r="D104" s="14"/>
      <c r="E104" s="14"/>
      <c r="F104" s="14"/>
      <c r="G104" s="443"/>
    </row>
    <row r="105" spans="1:7" ht="12.75">
      <c r="A105" s="44" t="s">
        <v>238</v>
      </c>
      <c r="B105" s="55" t="s">
        <v>239</v>
      </c>
      <c r="C105" s="14"/>
      <c r="D105" s="14"/>
      <c r="E105" s="14"/>
      <c r="F105" s="14"/>
      <c r="G105" s="443"/>
    </row>
    <row r="106" spans="1:7" ht="12.75">
      <c r="A106" s="44" t="s">
        <v>240</v>
      </c>
      <c r="B106" s="55" t="s">
        <v>241</v>
      </c>
      <c r="C106" s="14"/>
      <c r="D106" s="14"/>
      <c r="E106" s="14"/>
      <c r="F106" s="14"/>
      <c r="G106" s="443"/>
    </row>
    <row r="107" spans="1:7" ht="13.5" thickBot="1">
      <c r="A107" s="44" t="s">
        <v>242</v>
      </c>
      <c r="B107" s="50" t="s">
        <v>243</v>
      </c>
      <c r="C107" s="130">
        <v>-260625</v>
      </c>
      <c r="D107" s="133"/>
      <c r="E107" s="133"/>
      <c r="F107" s="130">
        <v>-89963</v>
      </c>
      <c r="G107" s="505"/>
    </row>
    <row r="108" spans="1:7" ht="18.75" customHeight="1" thickBot="1">
      <c r="A108" s="44" t="s">
        <v>244</v>
      </c>
      <c r="B108" s="372" t="s">
        <v>245</v>
      </c>
      <c r="C108" s="375">
        <f>SUM(C99+C104+C107)</f>
        <v>-44529</v>
      </c>
      <c r="D108" s="375">
        <f>SUM(D99+D104+D107)</f>
        <v>95190</v>
      </c>
      <c r="E108" s="375">
        <f>SUM(E99+E104+E107)</f>
        <v>95190</v>
      </c>
      <c r="F108" s="375">
        <f>SUM(F99+F104+F107)</f>
        <v>1502378</v>
      </c>
      <c r="G108" s="374">
        <f>F108/E108*100</f>
        <v>1578.2939384389117</v>
      </c>
    </row>
    <row r="109" spans="1:8" s="559" customFormat="1" ht="18.75" customHeight="1" thickBot="1">
      <c r="A109" s="555" t="s">
        <v>246</v>
      </c>
      <c r="B109" s="556" t="s">
        <v>488</v>
      </c>
      <c r="C109" s="557">
        <f>SUM(C98+C108)</f>
        <v>7474876</v>
      </c>
      <c r="D109" s="557">
        <f>SUM(D98+D108)</f>
        <v>5890957</v>
      </c>
      <c r="E109" s="557">
        <f>SUM(E98+E108)</f>
        <v>6039593</v>
      </c>
      <c r="F109" s="557">
        <f>SUM(F98+F108)</f>
        <v>3538579</v>
      </c>
      <c r="G109" s="377">
        <f>F109/E109*100</f>
        <v>58.58969304719706</v>
      </c>
      <c r="H109" s="558"/>
    </row>
    <row r="110" spans="1:7" ht="13.5" thickBot="1">
      <c r="A110" s="44" t="s">
        <v>247</v>
      </c>
      <c r="B110" s="72"/>
      <c r="C110" s="73"/>
      <c r="D110" s="73"/>
      <c r="E110" s="73"/>
      <c r="F110" s="73"/>
      <c r="G110" s="374"/>
    </row>
    <row r="111" spans="1:7" ht="18.75" customHeight="1" thickBot="1">
      <c r="A111" s="44" t="s">
        <v>248</v>
      </c>
      <c r="B111" s="378" t="s">
        <v>489</v>
      </c>
      <c r="C111" s="58">
        <f>SUM(C42-C98)</f>
        <v>-598254</v>
      </c>
      <c r="D111" s="58">
        <f>SUM(D42-D98)</f>
        <v>-1104810</v>
      </c>
      <c r="E111" s="58">
        <f>SUM(E42-E98)</f>
        <v>-1104810</v>
      </c>
      <c r="F111" s="58">
        <f>SUM(F42-F98)</f>
        <v>459851</v>
      </c>
      <c r="G111" s="374"/>
    </row>
    <row r="112" spans="1:7" ht="18.75" customHeight="1" thickBot="1">
      <c r="A112" s="44" t="s">
        <v>487</v>
      </c>
      <c r="B112" s="59" t="s">
        <v>249</v>
      </c>
      <c r="C112" s="58">
        <f>SUM(C58-C108)</f>
        <v>-1854</v>
      </c>
      <c r="D112" s="58">
        <f>SUM(D58-D108)</f>
        <v>-95190</v>
      </c>
      <c r="E112" s="58">
        <f>SUM(E58-E108)</f>
        <v>-95190</v>
      </c>
      <c r="F112" s="58">
        <f>SUM(F58-F108)</f>
        <v>-417193</v>
      </c>
      <c r="G112" s="374"/>
    </row>
    <row r="113" ht="12.75">
      <c r="G113" s="445"/>
    </row>
    <row r="114" ht="12.75">
      <c r="G114" s="445"/>
    </row>
    <row r="115" ht="12.75">
      <c r="G115" s="445"/>
    </row>
    <row r="116" ht="12.75">
      <c r="G116" s="445"/>
    </row>
    <row r="117" ht="12.75">
      <c r="G117" s="445"/>
    </row>
    <row r="118" ht="12.75">
      <c r="G118" s="445"/>
    </row>
    <row r="119" ht="12.75">
      <c r="G119" s="445"/>
    </row>
  </sheetData>
  <mergeCells count="2">
    <mergeCell ref="A1:F1"/>
    <mergeCell ref="A61:F61"/>
  </mergeCells>
  <printOptions horizontalCentered="1" verticalCentered="1"/>
  <pageMargins left="0.25" right="0.25" top="0.7874015748031497" bottom="0.4724409448818898" header="0.3937007874015748" footer="0.07874015748031496"/>
  <pageSetup horizontalDpi="600" verticalDpi="600" orientation="portrait" scale="95" r:id="rId1"/>
  <headerFooter alignWithMargins="0">
    <oddHeader>&amp;L 3. melléklet a .../...(....) önkormányzati határozathoz&amp;C&amp;"Arial CE,Félkövér"&amp;11
2013. I. félévi pénzügyi mérleg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1"/>
  <sheetViews>
    <sheetView workbookViewId="0" topLeftCell="A1">
      <pane xSplit="2" ySplit="4" topLeftCell="C5" activePane="bottomRight" state="frozen"/>
      <selection pane="topLeft" activeCell="E27" sqref="E27"/>
      <selection pane="topRight" activeCell="E27" sqref="E27"/>
      <selection pane="bottomLeft" activeCell="E27" sqref="E27"/>
      <selection pane="bottomRight" activeCell="L21" sqref="L21"/>
    </sheetView>
  </sheetViews>
  <sheetFormatPr defaultColWidth="9.00390625" defaultRowHeight="12.75"/>
  <cols>
    <col min="1" max="1" width="3.25390625" style="98" customWidth="1"/>
    <col min="2" max="2" width="26.125" style="98" customWidth="1"/>
    <col min="3" max="3" width="8.75390625" style="98" customWidth="1"/>
    <col min="4" max="4" width="8.625" style="98" customWidth="1"/>
    <col min="5" max="5" width="8.875" style="98" bestFit="1" customWidth="1"/>
    <col min="6" max="6" width="9.125" style="98" customWidth="1"/>
    <col min="7" max="7" width="5.00390625" style="491" customWidth="1"/>
    <col min="8" max="8" width="27.25390625" style="98" customWidth="1"/>
    <col min="9" max="10" width="8.625" style="98" customWidth="1"/>
    <col min="11" max="11" width="8.875" style="98" bestFit="1" customWidth="1"/>
    <col min="12" max="12" width="9.125" style="499" customWidth="1"/>
    <col min="13" max="13" width="6.25390625" style="491" customWidth="1"/>
    <col min="14" max="16384" width="9.125" style="98" customWidth="1"/>
  </cols>
  <sheetData>
    <row r="2" spans="12:13" ht="12.75" customHeight="1" thickBot="1">
      <c r="L2" s="575"/>
      <c r="M2" s="575"/>
    </row>
    <row r="3" spans="1:13" ht="12.75" customHeight="1" thickBot="1">
      <c r="A3" s="390"/>
      <c r="B3" s="395" t="s">
        <v>62</v>
      </c>
      <c r="C3" s="396" t="s">
        <v>63</v>
      </c>
      <c r="D3" s="396" t="s">
        <v>64</v>
      </c>
      <c r="E3" s="396" t="s">
        <v>65</v>
      </c>
      <c r="F3" s="396" t="s">
        <v>66</v>
      </c>
      <c r="G3" s="472" t="s">
        <v>67</v>
      </c>
      <c r="H3" s="395" t="s">
        <v>476</v>
      </c>
      <c r="I3" s="396" t="s">
        <v>69</v>
      </c>
      <c r="J3" s="396" t="s">
        <v>70</v>
      </c>
      <c r="K3" s="396" t="s">
        <v>324</v>
      </c>
      <c r="L3" s="492" t="s">
        <v>477</v>
      </c>
      <c r="M3" s="472" t="s">
        <v>478</v>
      </c>
    </row>
    <row r="4" spans="1:13" s="491" customFormat="1" ht="35.25" customHeight="1" thickBot="1">
      <c r="A4" s="504"/>
      <c r="B4" s="402" t="s">
        <v>18</v>
      </c>
      <c r="C4" s="403" t="s">
        <v>379</v>
      </c>
      <c r="D4" s="403" t="s">
        <v>383</v>
      </c>
      <c r="E4" s="367" t="s">
        <v>482</v>
      </c>
      <c r="F4" s="403" t="s">
        <v>381</v>
      </c>
      <c r="G4" s="404" t="s">
        <v>328</v>
      </c>
      <c r="H4" s="407" t="s">
        <v>19</v>
      </c>
      <c r="I4" s="403" t="s">
        <v>379</v>
      </c>
      <c r="J4" s="403" t="s">
        <v>383</v>
      </c>
      <c r="K4" s="367" t="s">
        <v>482</v>
      </c>
      <c r="L4" s="493" t="s">
        <v>381</v>
      </c>
      <c r="M4" s="404" t="s">
        <v>328</v>
      </c>
    </row>
    <row r="5" spans="1:13" ht="12" customHeight="1">
      <c r="A5" s="310" t="s">
        <v>2</v>
      </c>
      <c r="B5" s="255" t="s">
        <v>52</v>
      </c>
      <c r="C5" s="273">
        <v>428289</v>
      </c>
      <c r="D5" s="256">
        <v>209988</v>
      </c>
      <c r="E5" s="273">
        <f>187988-3000+25000</f>
        <v>209988</v>
      </c>
      <c r="F5" s="256">
        <v>156729</v>
      </c>
      <c r="G5" s="473">
        <f>F5/E5*100</f>
        <v>74.63712212126407</v>
      </c>
      <c r="H5" s="255" t="s">
        <v>49</v>
      </c>
      <c r="I5" s="273">
        <v>2790547</v>
      </c>
      <c r="J5" s="256">
        <v>1062859</v>
      </c>
      <c r="K5" s="273">
        <v>1062859</v>
      </c>
      <c r="L5" s="481">
        <v>473503</v>
      </c>
      <c r="M5" s="473">
        <f>L5/K5*100</f>
        <v>44.54993559823081</v>
      </c>
    </row>
    <row r="6" spans="1:13" ht="12" customHeight="1">
      <c r="A6" s="310" t="s">
        <v>3</v>
      </c>
      <c r="B6" s="257" t="s">
        <v>329</v>
      </c>
      <c r="C6" s="14">
        <v>1287001</v>
      </c>
      <c r="D6" s="252">
        <v>1022170</v>
      </c>
      <c r="E6" s="14">
        <v>1022170</v>
      </c>
      <c r="F6" s="252">
        <v>589422</v>
      </c>
      <c r="G6" s="474">
        <f>F6/E6*100</f>
        <v>57.66379369380827</v>
      </c>
      <c r="H6" s="257" t="s">
        <v>251</v>
      </c>
      <c r="I6" s="14">
        <v>722304</v>
      </c>
      <c r="J6" s="252">
        <v>252255</v>
      </c>
      <c r="K6" s="14">
        <v>252255</v>
      </c>
      <c r="L6" s="482">
        <v>108128</v>
      </c>
      <c r="M6" s="474">
        <f>L6/K6*100</f>
        <v>42.864561653881985</v>
      </c>
    </row>
    <row r="7" spans="1:13" ht="12" customHeight="1">
      <c r="A7" s="310" t="s">
        <v>4</v>
      </c>
      <c r="B7" s="257" t="s">
        <v>59</v>
      </c>
      <c r="C7" s="14">
        <f>2423914-17592</f>
        <v>2406322</v>
      </c>
      <c r="D7" s="252">
        <v>771259</v>
      </c>
      <c r="E7" s="14">
        <f>923355-3460-453</f>
        <v>919442</v>
      </c>
      <c r="F7" s="252">
        <v>620183</v>
      </c>
      <c r="G7" s="474">
        <f>F7/E7*100</f>
        <v>67.45210682131119</v>
      </c>
      <c r="H7" s="257" t="s">
        <v>50</v>
      </c>
      <c r="I7" s="14">
        <v>1629675</v>
      </c>
      <c r="J7" s="252">
        <v>997463</v>
      </c>
      <c r="K7" s="14">
        <f>731619+9861-1977+3360+200000+25000+29600</f>
        <v>997463</v>
      </c>
      <c r="L7" s="482">
        <v>594554</v>
      </c>
      <c r="M7" s="474">
        <f>L7/K7*100</f>
        <v>59.60662200001403</v>
      </c>
    </row>
    <row r="8" spans="1:13" ht="12" customHeight="1">
      <c r="A8" s="310" t="s">
        <v>5</v>
      </c>
      <c r="B8" s="257" t="s">
        <v>252</v>
      </c>
      <c r="C8" s="14">
        <f>1720942+13279</f>
        <v>1734221</v>
      </c>
      <c r="D8" s="252">
        <v>965284</v>
      </c>
      <c r="E8" s="14">
        <f>770284-5000+200000</f>
        <v>965284</v>
      </c>
      <c r="F8" s="252">
        <v>278052</v>
      </c>
      <c r="G8" s="474">
        <f>F8/E8*100</f>
        <v>28.805201370788286</v>
      </c>
      <c r="H8" s="268" t="s">
        <v>253</v>
      </c>
      <c r="I8" s="14"/>
      <c r="J8" s="252"/>
      <c r="K8" s="14"/>
      <c r="L8" s="482"/>
      <c r="M8" s="474"/>
    </row>
    <row r="9" spans="1:13" ht="12" customHeight="1">
      <c r="A9" s="310" t="s">
        <v>6</v>
      </c>
      <c r="B9" s="257" t="s">
        <v>254</v>
      </c>
      <c r="C9" s="14">
        <v>51235</v>
      </c>
      <c r="D9" s="252"/>
      <c r="E9" s="14"/>
      <c r="F9" s="252">
        <v>31100</v>
      </c>
      <c r="G9" s="474"/>
      <c r="H9" s="257" t="s">
        <v>255</v>
      </c>
      <c r="I9" s="14">
        <v>43930</v>
      </c>
      <c r="J9" s="252">
        <v>30000</v>
      </c>
      <c r="K9" s="14">
        <v>30000</v>
      </c>
      <c r="L9" s="482">
        <v>12857</v>
      </c>
      <c r="M9" s="474">
        <f>L9/K9*100</f>
        <v>42.85666666666666</v>
      </c>
    </row>
    <row r="10" spans="1:13" ht="12" customHeight="1">
      <c r="A10" s="310" t="s">
        <v>7</v>
      </c>
      <c r="B10" s="257" t="s">
        <v>330</v>
      </c>
      <c r="C10" s="14">
        <v>20000</v>
      </c>
      <c r="D10" s="252"/>
      <c r="E10" s="14"/>
      <c r="F10" s="252"/>
      <c r="G10" s="474"/>
      <c r="H10" s="257" t="s">
        <v>87</v>
      </c>
      <c r="I10" s="14">
        <v>91226</v>
      </c>
      <c r="J10" s="252">
        <v>700</v>
      </c>
      <c r="K10" s="14">
        <v>700</v>
      </c>
      <c r="L10" s="482">
        <v>520</v>
      </c>
      <c r="M10" s="474">
        <f>L10/K10*100</f>
        <v>74.28571428571429</v>
      </c>
    </row>
    <row r="11" spans="1:13" ht="12" customHeight="1">
      <c r="A11" s="310" t="s">
        <v>9</v>
      </c>
      <c r="B11" s="257"/>
      <c r="C11" s="14"/>
      <c r="D11" s="252"/>
      <c r="E11" s="14"/>
      <c r="F11" s="252"/>
      <c r="G11" s="474"/>
      <c r="H11" s="257" t="s">
        <v>331</v>
      </c>
      <c r="I11" s="14">
        <v>62342</v>
      </c>
      <c r="J11" s="252">
        <v>307111</v>
      </c>
      <c r="K11" s="14">
        <f>334734+1977-29600</f>
        <v>307111</v>
      </c>
      <c r="L11" s="482">
        <v>131845</v>
      </c>
      <c r="M11" s="474">
        <f>L11/K11*100</f>
        <v>42.93073188521414</v>
      </c>
    </row>
    <row r="12" spans="1:13" ht="12" customHeight="1">
      <c r="A12" s="310" t="s">
        <v>10</v>
      </c>
      <c r="B12" s="257"/>
      <c r="C12" s="14"/>
      <c r="D12" s="252"/>
      <c r="E12" s="14"/>
      <c r="F12" s="252"/>
      <c r="G12" s="474"/>
      <c r="H12" s="257" t="s">
        <v>256</v>
      </c>
      <c r="I12" s="14">
        <v>356050</v>
      </c>
      <c r="J12" s="252">
        <v>362040</v>
      </c>
      <c r="K12" s="14">
        <v>362040</v>
      </c>
      <c r="L12" s="482">
        <v>142951</v>
      </c>
      <c r="M12" s="474">
        <f>L12/K12*100</f>
        <v>39.48486355098884</v>
      </c>
    </row>
    <row r="13" spans="1:13" ht="12" customHeight="1">
      <c r="A13" s="310" t="s">
        <v>11</v>
      </c>
      <c r="B13" s="257"/>
      <c r="C13" s="14"/>
      <c r="D13" s="252"/>
      <c r="E13" s="14"/>
      <c r="F13" s="252"/>
      <c r="G13" s="474"/>
      <c r="H13" s="257" t="s">
        <v>332</v>
      </c>
      <c r="I13" s="14"/>
      <c r="J13" s="252"/>
      <c r="K13" s="14"/>
      <c r="L13" s="482"/>
      <c r="M13" s="474"/>
    </row>
    <row r="14" spans="1:13" ht="12" customHeight="1">
      <c r="A14" s="310" t="s">
        <v>13</v>
      </c>
      <c r="B14" s="257"/>
      <c r="C14" s="14"/>
      <c r="D14" s="252"/>
      <c r="E14" s="14"/>
      <c r="F14" s="252"/>
      <c r="G14" s="474"/>
      <c r="H14" s="257" t="s">
        <v>257</v>
      </c>
      <c r="I14" s="14">
        <v>20000</v>
      </c>
      <c r="J14" s="252"/>
      <c r="K14" s="14"/>
      <c r="L14" s="482"/>
      <c r="M14" s="474"/>
    </row>
    <row r="15" spans="1:13" ht="12" customHeight="1">
      <c r="A15" s="310" t="s">
        <v>71</v>
      </c>
      <c r="B15" s="257"/>
      <c r="C15" s="14"/>
      <c r="D15" s="252"/>
      <c r="E15" s="14"/>
      <c r="F15" s="252"/>
      <c r="G15" s="474"/>
      <c r="H15" s="257" t="s">
        <v>258</v>
      </c>
      <c r="I15" s="14">
        <v>643843</v>
      </c>
      <c r="J15" s="252"/>
      <c r="K15" s="14"/>
      <c r="L15" s="482"/>
      <c r="M15" s="474"/>
    </row>
    <row r="16" spans="1:13" ht="12" customHeight="1" thickBot="1">
      <c r="A16" s="310" t="s">
        <v>72</v>
      </c>
      <c r="B16" s="258"/>
      <c r="C16" s="17"/>
      <c r="D16" s="259"/>
      <c r="E16" s="17"/>
      <c r="F16" s="259"/>
      <c r="G16" s="475"/>
      <c r="H16" s="258" t="s">
        <v>259</v>
      </c>
      <c r="I16" s="17"/>
      <c r="J16" s="259">
        <v>61083</v>
      </c>
      <c r="K16" s="17">
        <v>209719</v>
      </c>
      <c r="L16" s="494"/>
      <c r="M16" s="475"/>
    </row>
    <row r="17" spans="1:13" ht="22.5" customHeight="1" thickBot="1">
      <c r="A17" s="310" t="s">
        <v>73</v>
      </c>
      <c r="B17" s="260" t="s">
        <v>333</v>
      </c>
      <c r="C17" s="270">
        <f>SUM(C5:C16)</f>
        <v>5927068</v>
      </c>
      <c r="D17" s="261">
        <f>SUM(D5:D16)</f>
        <v>2968701</v>
      </c>
      <c r="E17" s="270">
        <f>SUM(E5:E16)</f>
        <v>3116884</v>
      </c>
      <c r="F17" s="261">
        <f>SUM(F5:F16)</f>
        <v>1675486</v>
      </c>
      <c r="G17" s="479">
        <f>F17/E17*100</f>
        <v>53.7551606027045</v>
      </c>
      <c r="H17" s="535" t="s">
        <v>334</v>
      </c>
      <c r="I17" s="536">
        <f>SUM(I5:I16)</f>
        <v>6359917</v>
      </c>
      <c r="J17" s="536">
        <f>SUM(J5:J16)</f>
        <v>3073511</v>
      </c>
      <c r="K17" s="537">
        <f>SUM(K5:K16)</f>
        <v>3222147</v>
      </c>
      <c r="L17" s="538">
        <f>SUM(L5:L16)</f>
        <v>1464358</v>
      </c>
      <c r="M17" s="539">
        <f>L17/K17*100</f>
        <v>45.44665404775139</v>
      </c>
    </row>
    <row r="18" spans="1:13" ht="21.75" customHeight="1">
      <c r="A18" s="310" t="s">
        <v>74</v>
      </c>
      <c r="B18" s="262" t="s">
        <v>262</v>
      </c>
      <c r="C18" s="46">
        <v>1056563</v>
      </c>
      <c r="D18" s="263">
        <v>200000</v>
      </c>
      <c r="E18" s="46">
        <v>200000</v>
      </c>
      <c r="F18" s="263"/>
      <c r="G18" s="532"/>
      <c r="H18" s="255" t="s">
        <v>263</v>
      </c>
      <c r="I18" s="273">
        <v>80000</v>
      </c>
      <c r="J18" s="256">
        <v>95190</v>
      </c>
      <c r="K18" s="273">
        <f>146040-50850</f>
        <v>95190</v>
      </c>
      <c r="L18" s="500">
        <v>328598</v>
      </c>
      <c r="M18" s="501">
        <f>L18/K18*100</f>
        <v>345.20222712469797</v>
      </c>
    </row>
    <row r="19" spans="1:13" ht="12" customHeight="1">
      <c r="A19" s="310" t="s">
        <v>75</v>
      </c>
      <c r="B19" s="264" t="s">
        <v>335</v>
      </c>
      <c r="C19" s="15"/>
      <c r="D19" s="253"/>
      <c r="E19" s="15"/>
      <c r="F19" s="253"/>
      <c r="G19" s="533"/>
      <c r="H19" s="257" t="s">
        <v>264</v>
      </c>
      <c r="I19" s="14"/>
      <c r="J19" s="252"/>
      <c r="K19" s="14"/>
      <c r="L19" s="482">
        <v>871337</v>
      </c>
      <c r="M19" s="474"/>
    </row>
    <row r="20" spans="1:13" ht="12" customHeight="1">
      <c r="A20" s="310" t="s">
        <v>76</v>
      </c>
      <c r="B20" s="257" t="s">
        <v>265</v>
      </c>
      <c r="C20" s="14"/>
      <c r="D20" s="252"/>
      <c r="E20" s="14"/>
      <c r="F20" s="252">
        <v>251265</v>
      </c>
      <c r="G20" s="533"/>
      <c r="H20" s="257" t="s">
        <v>266</v>
      </c>
      <c r="I20" s="14"/>
      <c r="J20" s="254"/>
      <c r="K20" s="274"/>
      <c r="L20" s="482"/>
      <c r="M20" s="474"/>
    </row>
    <row r="21" spans="1:13" ht="12" customHeight="1">
      <c r="A21" s="310" t="s">
        <v>77</v>
      </c>
      <c r="B21" s="257" t="s">
        <v>267</v>
      </c>
      <c r="C21" s="14">
        <v>149725</v>
      </c>
      <c r="D21" s="252"/>
      <c r="E21" s="14"/>
      <c r="F21" s="252">
        <v>840000</v>
      </c>
      <c r="G21" s="533"/>
      <c r="H21" s="547" t="s">
        <v>490</v>
      </c>
      <c r="I21" s="15"/>
      <c r="J21" s="253"/>
      <c r="K21" s="15"/>
      <c r="L21" s="482">
        <v>50013</v>
      </c>
      <c r="M21" s="474"/>
    </row>
    <row r="22" spans="1:13" ht="12" customHeight="1">
      <c r="A22" s="310" t="s">
        <v>78</v>
      </c>
      <c r="B22" s="257" t="s">
        <v>60</v>
      </c>
      <c r="C22" s="14"/>
      <c r="D22" s="252"/>
      <c r="E22" s="14"/>
      <c r="F22" s="252"/>
      <c r="G22" s="533"/>
      <c r="H22" s="257" t="s">
        <v>268</v>
      </c>
      <c r="I22" s="14"/>
      <c r="J22" s="252"/>
      <c r="K22" s="14"/>
      <c r="L22" s="482"/>
      <c r="M22" s="474"/>
    </row>
    <row r="23" spans="1:13" ht="12" customHeight="1">
      <c r="A23" s="310" t="s">
        <v>84</v>
      </c>
      <c r="B23" s="257" t="s">
        <v>336</v>
      </c>
      <c r="C23" s="14"/>
      <c r="D23" s="252"/>
      <c r="E23" s="14"/>
      <c r="F23" s="252"/>
      <c r="G23" s="533"/>
      <c r="H23" s="257" t="s">
        <v>269</v>
      </c>
      <c r="I23" s="14"/>
      <c r="J23" s="252"/>
      <c r="K23" s="14"/>
      <c r="L23" s="482"/>
      <c r="M23" s="474"/>
    </row>
    <row r="24" spans="1:13" ht="12" customHeight="1">
      <c r="A24" s="310" t="s">
        <v>85</v>
      </c>
      <c r="B24" s="257" t="s">
        <v>337</v>
      </c>
      <c r="C24" s="14"/>
      <c r="D24" s="252"/>
      <c r="E24" s="14"/>
      <c r="F24" s="252"/>
      <c r="G24" s="533"/>
      <c r="H24" s="257" t="s">
        <v>270</v>
      </c>
      <c r="I24" s="14"/>
      <c r="J24" s="252"/>
      <c r="K24" s="14"/>
      <c r="L24" s="482"/>
      <c r="M24" s="474"/>
    </row>
    <row r="25" spans="1:13" ht="12" customHeight="1">
      <c r="A25" s="310" t="s">
        <v>113</v>
      </c>
      <c r="B25" s="257" t="s">
        <v>339</v>
      </c>
      <c r="C25" s="14"/>
      <c r="D25" s="252"/>
      <c r="E25" s="14"/>
      <c r="F25" s="252"/>
      <c r="G25" s="533"/>
      <c r="H25" s="257" t="s">
        <v>338</v>
      </c>
      <c r="I25" s="545"/>
      <c r="J25" s="545"/>
      <c r="K25" s="545"/>
      <c r="L25" s="546"/>
      <c r="M25" s="474"/>
    </row>
    <row r="26" spans="1:13" ht="12" customHeight="1">
      <c r="A26" s="310" t="s">
        <v>114</v>
      </c>
      <c r="B26" s="257" t="s">
        <v>340</v>
      </c>
      <c r="C26" s="15"/>
      <c r="D26" s="253"/>
      <c r="E26" s="15"/>
      <c r="F26" s="253"/>
      <c r="G26" s="533"/>
      <c r="H26" s="257" t="s">
        <v>273</v>
      </c>
      <c r="I26" s="14">
        <v>-260625</v>
      </c>
      <c r="J26" s="253"/>
      <c r="K26" s="15"/>
      <c r="L26" s="482">
        <v>-89963</v>
      </c>
      <c r="M26" s="474"/>
    </row>
    <row r="27" spans="1:13" ht="12" customHeight="1">
      <c r="A27" s="310" t="s">
        <v>115</v>
      </c>
      <c r="B27" s="257" t="s">
        <v>274</v>
      </c>
      <c r="C27" s="14">
        <v>-196108</v>
      </c>
      <c r="D27" s="252"/>
      <c r="E27" s="14"/>
      <c r="F27" s="252">
        <v>-6080</v>
      </c>
      <c r="G27" s="533"/>
      <c r="H27" s="257"/>
      <c r="I27" s="252"/>
      <c r="J27" s="252"/>
      <c r="K27" s="14"/>
      <c r="L27" s="495"/>
      <c r="M27" s="474"/>
    </row>
    <row r="28" spans="1:13" ht="12" customHeight="1" thickBot="1">
      <c r="A28" s="310" t="s">
        <v>117</v>
      </c>
      <c r="B28" s="258"/>
      <c r="C28" s="17"/>
      <c r="D28" s="259"/>
      <c r="E28" s="17"/>
      <c r="F28" s="259"/>
      <c r="G28" s="534"/>
      <c r="H28" s="258"/>
      <c r="I28" s="269"/>
      <c r="J28" s="269"/>
      <c r="K28" s="130"/>
      <c r="L28" s="496"/>
      <c r="M28" s="475"/>
    </row>
    <row r="29" spans="1:13" ht="22.5" customHeight="1" thickBot="1">
      <c r="A29" s="310" t="s">
        <v>119</v>
      </c>
      <c r="B29" s="260" t="s">
        <v>275</v>
      </c>
      <c r="C29" s="270">
        <f>SUM(C20:C28)</f>
        <v>-46383</v>
      </c>
      <c r="D29" s="261">
        <f>SUM(D20:D28)</f>
        <v>0</v>
      </c>
      <c r="E29" s="270">
        <f>SUM(E20:E28)</f>
        <v>0</v>
      </c>
      <c r="F29" s="261">
        <f>SUM(F20:F28)</f>
        <v>1085185</v>
      </c>
      <c r="G29" s="477"/>
      <c r="H29" s="540" t="s">
        <v>276</v>
      </c>
      <c r="I29" s="541">
        <f>SUM(I18:I28)</f>
        <v>-180625</v>
      </c>
      <c r="J29" s="541">
        <f>SUM(J18:J28)</f>
        <v>95190</v>
      </c>
      <c r="K29" s="542">
        <f>SUM(K18:K28)</f>
        <v>95190</v>
      </c>
      <c r="L29" s="543">
        <f>SUM(L18:L28)</f>
        <v>1159985</v>
      </c>
      <c r="M29" s="544">
        <f>L29/K29*100</f>
        <v>1218.5996428196238</v>
      </c>
    </row>
    <row r="30" spans="1:13" s="99" customFormat="1" ht="22.5" customHeight="1" thickBot="1">
      <c r="A30" s="310" t="s">
        <v>121</v>
      </c>
      <c r="B30" s="265" t="s">
        <v>277</v>
      </c>
      <c r="C30" s="272">
        <f>SUM(C17+C18+C19+C29)</f>
        <v>6937248</v>
      </c>
      <c r="D30" s="266">
        <f>SUM(D17+D18+D19+D29)</f>
        <v>3168701</v>
      </c>
      <c r="E30" s="266">
        <f>SUM(E17+E18+E19+E29)</f>
        <v>3316884</v>
      </c>
      <c r="F30" s="266">
        <f>SUM(F17+F18+F19+F29)</f>
        <v>2760671</v>
      </c>
      <c r="G30" s="478">
        <f>F30/E30*100</f>
        <v>83.23085763626344</v>
      </c>
      <c r="H30" s="265" t="s">
        <v>278</v>
      </c>
      <c r="I30" s="266">
        <f>SUM(I17+I29)</f>
        <v>6179292</v>
      </c>
      <c r="J30" s="266">
        <f>SUM(J17+J29)</f>
        <v>3168701</v>
      </c>
      <c r="K30" s="272">
        <f>SUM(K17+K29)</f>
        <v>3317337</v>
      </c>
      <c r="L30" s="498">
        <f>SUM(L17+L29)</f>
        <v>2624343</v>
      </c>
      <c r="M30" s="478">
        <f>L30/K30*100</f>
        <v>79.10993064617794</v>
      </c>
    </row>
    <row r="31" spans="1:13" ht="16.5" customHeight="1" thickBot="1">
      <c r="A31" s="311" t="s">
        <v>122</v>
      </c>
      <c r="B31" s="267" t="s">
        <v>279</v>
      </c>
      <c r="C31" s="270">
        <f>SUM(I17-C17)</f>
        <v>432849</v>
      </c>
      <c r="D31" s="261">
        <f>SUM(J17-D17)</f>
        <v>104810</v>
      </c>
      <c r="E31" s="261">
        <f>SUM(K17-E17)</f>
        <v>105263</v>
      </c>
      <c r="F31" s="261"/>
      <c r="G31" s="479"/>
      <c r="H31" s="267" t="s">
        <v>280</v>
      </c>
      <c r="I31" s="261"/>
      <c r="J31" s="261"/>
      <c r="K31" s="261"/>
      <c r="L31" s="485">
        <f>SUM(F17-L17)</f>
        <v>211128</v>
      </c>
      <c r="M31" s="479"/>
    </row>
    <row r="45" ht="12" customHeight="1"/>
  </sheetData>
  <mergeCells count="1">
    <mergeCell ref="L2:M2"/>
  </mergeCells>
  <printOptions horizontalCentered="1" verticalCentered="1"/>
  <pageMargins left="0.39375" right="0.39375" top="0.7868055555555555" bottom="0.4722222222222222" header="0.5902777777777778" footer="0.5118055555555555"/>
  <pageSetup fitToHeight="1" fitToWidth="1" horizontalDpi="300" verticalDpi="300" orientation="landscape" scale="96" r:id="rId1"/>
  <headerFooter alignWithMargins="0">
    <oddHeader>&amp;L&amp;8  4. melléklet a …/…..(….) önkormányzati határozathoz&amp;C&amp;"Arial CE,Félkövér"&amp;11Működési célú  bevételek és kiadások mérlege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workbookViewId="0" topLeftCell="A1">
      <selection activeCell="F39" sqref="F39"/>
    </sheetView>
  </sheetViews>
  <sheetFormatPr defaultColWidth="9.00390625" defaultRowHeight="12.75"/>
  <cols>
    <col min="1" max="1" width="3.375" style="100" customWidth="1"/>
    <col min="2" max="2" width="29.875" style="100" customWidth="1"/>
    <col min="3" max="3" width="8.875" style="100" hidden="1" customWidth="1"/>
    <col min="4" max="4" width="8.75390625" style="100" customWidth="1"/>
    <col min="5" max="5" width="8.625" style="100" customWidth="1"/>
    <col min="6" max="6" width="9.375" style="100" bestFit="1" customWidth="1"/>
    <col min="7" max="7" width="9.125" style="100" customWidth="1"/>
    <col min="8" max="8" width="4.25390625" style="100" bestFit="1" customWidth="1"/>
    <col min="9" max="9" width="26.625" style="100" customWidth="1"/>
    <col min="10" max="10" width="8.375" style="100" hidden="1" customWidth="1"/>
    <col min="11" max="11" width="9.00390625" style="100" customWidth="1"/>
    <col min="12" max="12" width="9.375" style="100" bestFit="1" customWidth="1"/>
    <col min="13" max="13" width="9.375" style="100" customWidth="1"/>
    <col min="14" max="14" width="8.875" style="100" customWidth="1"/>
    <col min="15" max="15" width="4.125" style="100" customWidth="1"/>
    <col min="16" max="16384" width="9.125" style="100" customWidth="1"/>
  </cols>
  <sheetData>
    <row r="1" spans="14:15" ht="13.5" thickBot="1">
      <c r="N1" s="576"/>
      <c r="O1" s="576"/>
    </row>
    <row r="2" spans="1:15" ht="13.5" thickBot="1">
      <c r="A2" s="399"/>
      <c r="B2" s="395" t="s">
        <v>62</v>
      </c>
      <c r="C2" s="396" t="s">
        <v>63</v>
      </c>
      <c r="D2" s="396" t="s">
        <v>63</v>
      </c>
      <c r="E2" s="396" t="s">
        <v>64</v>
      </c>
      <c r="F2" s="396" t="s">
        <v>65</v>
      </c>
      <c r="G2" s="396" t="s">
        <v>66</v>
      </c>
      <c r="H2" s="512" t="s">
        <v>67</v>
      </c>
      <c r="I2" s="395" t="s">
        <v>68</v>
      </c>
      <c r="J2" s="396" t="s">
        <v>70</v>
      </c>
      <c r="K2" s="396" t="s">
        <v>69</v>
      </c>
      <c r="L2" s="396" t="s">
        <v>70</v>
      </c>
      <c r="M2" s="396" t="s">
        <v>324</v>
      </c>
      <c r="N2" s="396" t="s">
        <v>477</v>
      </c>
      <c r="O2" s="512" t="s">
        <v>478</v>
      </c>
    </row>
    <row r="3" spans="1:15" s="398" customFormat="1" ht="34.5" customHeight="1" thickBot="1">
      <c r="A3" s="400"/>
      <c r="B3" s="402" t="s">
        <v>18</v>
      </c>
      <c r="C3" s="403" t="s">
        <v>327</v>
      </c>
      <c r="D3" s="403" t="s">
        <v>379</v>
      </c>
      <c r="E3" s="403" t="s">
        <v>383</v>
      </c>
      <c r="F3" s="367" t="s">
        <v>482</v>
      </c>
      <c r="G3" s="403" t="s">
        <v>381</v>
      </c>
      <c r="H3" s="404" t="s">
        <v>328</v>
      </c>
      <c r="I3" s="407" t="s">
        <v>19</v>
      </c>
      <c r="J3" s="403" t="s">
        <v>327</v>
      </c>
      <c r="K3" s="403" t="s">
        <v>379</v>
      </c>
      <c r="L3" s="403" t="s">
        <v>383</v>
      </c>
      <c r="M3" s="367" t="s">
        <v>482</v>
      </c>
      <c r="N3" s="403" t="s">
        <v>381</v>
      </c>
      <c r="O3" s="404" t="s">
        <v>328</v>
      </c>
    </row>
    <row r="4" spans="1:15" ht="12.75" customHeight="1">
      <c r="A4" s="401" t="s">
        <v>2</v>
      </c>
      <c r="B4" s="255" t="s">
        <v>341</v>
      </c>
      <c r="C4" s="256">
        <v>8775</v>
      </c>
      <c r="D4" s="273">
        <v>60301</v>
      </c>
      <c r="E4" s="256">
        <v>19000</v>
      </c>
      <c r="F4" s="273">
        <f>10000+9000</f>
        <v>19000</v>
      </c>
      <c r="G4" s="256">
        <v>5923</v>
      </c>
      <c r="H4" s="513">
        <f>G4/F4*100</f>
        <v>31.173684210526314</v>
      </c>
      <c r="I4" s="255" t="s">
        <v>281</v>
      </c>
      <c r="J4" s="256">
        <v>199014</v>
      </c>
      <c r="K4" s="273">
        <v>723187</v>
      </c>
      <c r="L4" s="256">
        <v>1538839</v>
      </c>
      <c r="M4" s="273">
        <f>1535839+3000</f>
        <v>1538839</v>
      </c>
      <c r="N4" s="256">
        <v>158583</v>
      </c>
      <c r="O4" s="513">
        <f>N4/M4*100</f>
        <v>10.30536657831001</v>
      </c>
    </row>
    <row r="5" spans="1:15" ht="12.75" customHeight="1">
      <c r="A5" s="401" t="s">
        <v>3</v>
      </c>
      <c r="B5" s="257" t="s">
        <v>342</v>
      </c>
      <c r="C5" s="252">
        <v>175619</v>
      </c>
      <c r="D5" s="14">
        <v>5793</v>
      </c>
      <c r="E5" s="252">
        <v>6860</v>
      </c>
      <c r="F5" s="14">
        <v>6860</v>
      </c>
      <c r="G5" s="252">
        <v>2419</v>
      </c>
      <c r="H5" s="514">
        <f>G5/F5*100</f>
        <v>35.262390670553934</v>
      </c>
      <c r="I5" s="257" t="s">
        <v>51</v>
      </c>
      <c r="J5" s="252">
        <v>28695</v>
      </c>
      <c r="K5" s="14">
        <v>269922</v>
      </c>
      <c r="L5" s="252">
        <v>212144</v>
      </c>
      <c r="M5" s="14">
        <f>215144-3000</f>
        <v>212144</v>
      </c>
      <c r="N5" s="252">
        <v>272826</v>
      </c>
      <c r="O5" s="514">
        <f>N5/M5*100</f>
        <v>128.60415566784826</v>
      </c>
    </row>
    <row r="6" spans="1:15" ht="22.5">
      <c r="A6" s="401" t="s">
        <v>4</v>
      </c>
      <c r="B6" s="257" t="s">
        <v>343</v>
      </c>
      <c r="C6" s="252"/>
      <c r="D6" s="14"/>
      <c r="E6" s="252"/>
      <c r="F6" s="14"/>
      <c r="G6" s="252"/>
      <c r="H6" s="514"/>
      <c r="I6" s="257" t="s">
        <v>282</v>
      </c>
      <c r="J6" s="252"/>
      <c r="K6" s="14"/>
      <c r="L6" s="252"/>
      <c r="M6" s="14"/>
      <c r="N6" s="252"/>
      <c r="O6" s="514"/>
    </row>
    <row r="7" spans="1:15" ht="22.5">
      <c r="A7" s="401" t="s">
        <v>5</v>
      </c>
      <c r="B7" s="268" t="s">
        <v>319</v>
      </c>
      <c r="C7" s="252"/>
      <c r="D7" s="14">
        <v>78032</v>
      </c>
      <c r="E7" s="252">
        <v>70000</v>
      </c>
      <c r="F7" s="14">
        <v>70000</v>
      </c>
      <c r="G7" s="252">
        <v>32525</v>
      </c>
      <c r="H7" s="514">
        <f>G7/F7*100</f>
        <v>46.464285714285715</v>
      </c>
      <c r="I7" s="257" t="s">
        <v>283</v>
      </c>
      <c r="J7" s="252">
        <v>210</v>
      </c>
      <c r="K7" s="14">
        <v>9960</v>
      </c>
      <c r="L7" s="252"/>
      <c r="M7" s="14"/>
      <c r="N7" s="252">
        <v>6740</v>
      </c>
      <c r="O7" s="514"/>
    </row>
    <row r="8" spans="1:15" ht="12.75" customHeight="1">
      <c r="A8" s="401" t="s">
        <v>6</v>
      </c>
      <c r="B8" s="257" t="s">
        <v>284</v>
      </c>
      <c r="C8" s="252"/>
      <c r="D8" s="14"/>
      <c r="E8" s="252"/>
      <c r="F8" s="511"/>
      <c r="G8" s="252"/>
      <c r="H8" s="514"/>
      <c r="I8" s="257" t="s">
        <v>285</v>
      </c>
      <c r="J8" s="252"/>
      <c r="K8" s="14">
        <v>58736</v>
      </c>
      <c r="L8" s="252"/>
      <c r="M8" s="14"/>
      <c r="N8" s="252">
        <v>500</v>
      </c>
      <c r="O8" s="514"/>
    </row>
    <row r="9" spans="1:15" ht="12.75">
      <c r="A9" s="401" t="s">
        <v>7</v>
      </c>
      <c r="B9" s="257" t="s">
        <v>286</v>
      </c>
      <c r="C9" s="252">
        <f>4889</f>
        <v>4889</v>
      </c>
      <c r="D9" s="14">
        <v>140449</v>
      </c>
      <c r="E9" s="252"/>
      <c r="F9" s="511"/>
      <c r="G9" s="252"/>
      <c r="H9" s="514"/>
      <c r="I9" s="257" t="s">
        <v>259</v>
      </c>
      <c r="J9" s="252"/>
      <c r="K9" s="14"/>
      <c r="L9" s="252">
        <v>714070</v>
      </c>
      <c r="M9" s="14">
        <v>714070</v>
      </c>
      <c r="N9" s="252"/>
      <c r="O9" s="514"/>
    </row>
    <row r="10" spans="1:15" ht="12.75" customHeight="1">
      <c r="A10" s="401" t="s">
        <v>9</v>
      </c>
      <c r="B10" s="257" t="s">
        <v>344</v>
      </c>
      <c r="C10" s="252">
        <f>51+2500+3474+13400+720+200+1000+292</f>
        <v>21637</v>
      </c>
      <c r="D10" s="14">
        <f>10000+29866</f>
        <v>39866</v>
      </c>
      <c r="E10" s="252"/>
      <c r="F10" s="511"/>
      <c r="G10" s="252"/>
      <c r="H10" s="514"/>
      <c r="I10" s="257" t="s">
        <v>48</v>
      </c>
      <c r="J10" s="252"/>
      <c r="K10" s="14">
        <v>2100</v>
      </c>
      <c r="L10" s="252">
        <v>187203</v>
      </c>
      <c r="M10" s="14">
        <v>187203</v>
      </c>
      <c r="N10" s="252">
        <v>91701</v>
      </c>
      <c r="O10" s="514">
        <f>N10/M10*100</f>
        <v>48.98479191038605</v>
      </c>
    </row>
    <row r="11" spans="1:15" ht="12.75" customHeight="1">
      <c r="A11" s="401" t="s">
        <v>10</v>
      </c>
      <c r="B11" s="48" t="s">
        <v>481</v>
      </c>
      <c r="C11" s="252"/>
      <c r="D11" s="14"/>
      <c r="E11" s="252"/>
      <c r="F11" s="14">
        <v>453</v>
      </c>
      <c r="G11" s="252">
        <v>453</v>
      </c>
      <c r="H11" s="514">
        <f>G11/F11*100</f>
        <v>100</v>
      </c>
      <c r="I11" s="257"/>
      <c r="J11" s="252"/>
      <c r="K11" s="14"/>
      <c r="L11" s="252"/>
      <c r="M11" s="14"/>
      <c r="N11" s="252"/>
      <c r="O11" s="514"/>
    </row>
    <row r="12" spans="1:15" ht="12.75" customHeight="1">
      <c r="A12" s="401" t="s">
        <v>11</v>
      </c>
      <c r="B12" s="257" t="s">
        <v>387</v>
      </c>
      <c r="C12" s="252"/>
      <c r="D12" s="14"/>
      <c r="E12" s="252">
        <v>3460</v>
      </c>
      <c r="F12" s="14">
        <f>2888+572</f>
        <v>3460</v>
      </c>
      <c r="G12" s="252">
        <f>304867</f>
        <v>304867</v>
      </c>
      <c r="H12" s="514"/>
      <c r="I12" s="257"/>
      <c r="J12" s="252"/>
      <c r="K12" s="14"/>
      <c r="L12" s="252"/>
      <c r="M12" s="511"/>
      <c r="N12" s="252"/>
      <c r="O12" s="514"/>
    </row>
    <row r="13" spans="1:15" ht="12.75" customHeight="1">
      <c r="A13" s="401" t="s">
        <v>13</v>
      </c>
      <c r="B13" s="257" t="s">
        <v>252</v>
      </c>
      <c r="C13" s="252">
        <v>86136</v>
      </c>
      <c r="D13" s="14">
        <v>193658</v>
      </c>
      <c r="E13" s="252">
        <v>3500</v>
      </c>
      <c r="F13" s="14">
        <f>13500-10000</f>
        <v>3500</v>
      </c>
      <c r="G13" s="252">
        <v>6668</v>
      </c>
      <c r="H13" s="514">
        <f>G13/F13*100</f>
        <v>190.51428571428573</v>
      </c>
      <c r="I13" s="257" t="s">
        <v>345</v>
      </c>
      <c r="J13" s="252"/>
      <c r="K13" s="14"/>
      <c r="L13" s="252"/>
      <c r="M13" s="511"/>
      <c r="N13" s="252"/>
      <c r="O13" s="514"/>
    </row>
    <row r="14" spans="1:15" ht="12.75">
      <c r="A14" s="401" t="s">
        <v>71</v>
      </c>
      <c r="B14" s="257" t="s">
        <v>346</v>
      </c>
      <c r="C14" s="252">
        <v>49207</v>
      </c>
      <c r="D14" s="14">
        <v>453674</v>
      </c>
      <c r="E14" s="252">
        <v>1612936</v>
      </c>
      <c r="F14" s="14">
        <f>1561358+51578</f>
        <v>1612936</v>
      </c>
      <c r="G14" s="252">
        <v>464938</v>
      </c>
      <c r="H14" s="514">
        <f>G14/F14*100</f>
        <v>28.825570264412224</v>
      </c>
      <c r="I14" s="257" t="s">
        <v>287</v>
      </c>
      <c r="J14" s="252"/>
      <c r="K14" s="14">
        <v>95583</v>
      </c>
      <c r="L14" s="252">
        <v>70000</v>
      </c>
      <c r="M14" s="14">
        <v>70000</v>
      </c>
      <c r="N14" s="252">
        <v>41493</v>
      </c>
      <c r="O14" s="514">
        <f>N14/M14*100</f>
        <v>59.27571428571429</v>
      </c>
    </row>
    <row r="15" spans="1:15" ht="12.75" customHeight="1">
      <c r="A15" s="401" t="s">
        <v>72</v>
      </c>
      <c r="B15" s="257" t="s">
        <v>79</v>
      </c>
      <c r="C15" s="252">
        <v>10528</v>
      </c>
      <c r="D15" s="14">
        <v>6682</v>
      </c>
      <c r="E15" s="252">
        <v>6500</v>
      </c>
      <c r="F15" s="14">
        <v>6500</v>
      </c>
      <c r="G15" s="252">
        <v>2773</v>
      </c>
      <c r="H15" s="514">
        <f>G15/F15*100</f>
        <v>42.66153846153846</v>
      </c>
      <c r="I15" s="257" t="s">
        <v>288</v>
      </c>
      <c r="J15" s="252">
        <f>10822+33197-210</f>
        <v>43809</v>
      </c>
      <c r="K15" s="14"/>
      <c r="L15" s="252">
        <v>0</v>
      </c>
      <c r="M15" s="14"/>
      <c r="N15" s="252"/>
      <c r="O15" s="514"/>
    </row>
    <row r="16" spans="1:15" ht="12.75" customHeight="1" thickBot="1">
      <c r="A16" s="401" t="s">
        <v>73</v>
      </c>
      <c r="B16" s="258" t="s">
        <v>289</v>
      </c>
      <c r="C16" s="259">
        <v>3939</v>
      </c>
      <c r="D16" s="17">
        <v>15628</v>
      </c>
      <c r="E16" s="259"/>
      <c r="F16" s="17"/>
      <c r="G16" s="259"/>
      <c r="H16" s="515"/>
      <c r="I16" s="258"/>
      <c r="J16" s="259"/>
      <c r="K16" s="17"/>
      <c r="L16" s="259"/>
      <c r="M16" s="17"/>
      <c r="N16" s="259"/>
      <c r="O16" s="515"/>
    </row>
    <row r="17" spans="1:15" ht="22.5" customHeight="1" thickBot="1">
      <c r="A17" s="401" t="s">
        <v>74</v>
      </c>
      <c r="B17" s="260" t="s">
        <v>260</v>
      </c>
      <c r="C17" s="261">
        <f>SUM(C4:C16)</f>
        <v>360730</v>
      </c>
      <c r="D17" s="270">
        <f>SUM(D4:D16)</f>
        <v>994083</v>
      </c>
      <c r="E17" s="261">
        <f>SUM(E4:E16)</f>
        <v>1722256</v>
      </c>
      <c r="F17" s="270">
        <f>SUM(F4:F16)</f>
        <v>1722709</v>
      </c>
      <c r="G17" s="261">
        <f>SUM(G4:G16)</f>
        <v>820566</v>
      </c>
      <c r="H17" s="479">
        <f>G17/F17*100</f>
        <v>47.632304701490504</v>
      </c>
      <c r="I17" s="260" t="s">
        <v>261</v>
      </c>
      <c r="J17" s="261">
        <f>SUM(J4:J15)</f>
        <v>271728</v>
      </c>
      <c r="K17" s="270">
        <f>SUM(K4:K15)</f>
        <v>1159488</v>
      </c>
      <c r="L17" s="261">
        <f>SUM(L4:L15)</f>
        <v>2722256</v>
      </c>
      <c r="M17" s="270">
        <f>SUM(M4:M15)</f>
        <v>2722256</v>
      </c>
      <c r="N17" s="261">
        <f>SUM(N4:N16)</f>
        <v>571843</v>
      </c>
      <c r="O17" s="479">
        <f>N17/M17*100</f>
        <v>21.006216902451495</v>
      </c>
    </row>
    <row r="18" spans="1:15" ht="22.5">
      <c r="A18" s="401" t="s">
        <v>75</v>
      </c>
      <c r="B18" s="262" t="s">
        <v>290</v>
      </c>
      <c r="C18" s="263">
        <v>205000</v>
      </c>
      <c r="D18" s="46">
        <v>213012</v>
      </c>
      <c r="E18" s="263">
        <v>1000000</v>
      </c>
      <c r="F18" s="46">
        <v>1000000</v>
      </c>
      <c r="G18" s="263">
        <v>81964</v>
      </c>
      <c r="H18" s="513">
        <f>G18/F18*100</f>
        <v>8.196399999999999</v>
      </c>
      <c r="I18" s="255" t="s">
        <v>263</v>
      </c>
      <c r="J18" s="256"/>
      <c r="K18" s="273"/>
      <c r="L18" s="256"/>
      <c r="M18" s="273"/>
      <c r="N18" s="263"/>
      <c r="O18" s="513"/>
    </row>
    <row r="19" spans="1:15" ht="12.75">
      <c r="A19" s="401" t="s">
        <v>76</v>
      </c>
      <c r="B19" s="257" t="s">
        <v>61</v>
      </c>
      <c r="C19" s="253"/>
      <c r="D19" s="274"/>
      <c r="E19" s="254"/>
      <c r="F19" s="274"/>
      <c r="G19" s="254"/>
      <c r="H19" s="514"/>
      <c r="I19" s="257" t="s">
        <v>264</v>
      </c>
      <c r="J19" s="252"/>
      <c r="K19" s="14"/>
      <c r="L19" s="252"/>
      <c r="M19" s="14"/>
      <c r="N19" s="254"/>
      <c r="O19" s="514"/>
    </row>
    <row r="20" spans="1:15" ht="12.75">
      <c r="A20" s="401" t="s">
        <v>77</v>
      </c>
      <c r="B20" s="257" t="s">
        <v>267</v>
      </c>
      <c r="C20" s="252"/>
      <c r="D20" s="14"/>
      <c r="E20" s="252"/>
      <c r="F20" s="14"/>
      <c r="G20" s="252"/>
      <c r="H20" s="514"/>
      <c r="I20" s="257" t="s">
        <v>266</v>
      </c>
      <c r="J20" s="252">
        <v>179859</v>
      </c>
      <c r="K20" s="14">
        <v>136096</v>
      </c>
      <c r="L20" s="252"/>
      <c r="M20" s="14"/>
      <c r="N20" s="252">
        <v>342393</v>
      </c>
      <c r="O20" s="514"/>
    </row>
    <row r="21" spans="1:15" ht="12.75" customHeight="1">
      <c r="A21" s="401" t="s">
        <v>78</v>
      </c>
      <c r="B21" s="257" t="s">
        <v>60</v>
      </c>
      <c r="C21" s="252"/>
      <c r="D21" s="14"/>
      <c r="E21" s="252"/>
      <c r="F21" s="14"/>
      <c r="G21" s="252"/>
      <c r="H21" s="514"/>
      <c r="I21" s="257" t="s">
        <v>268</v>
      </c>
      <c r="J21" s="253"/>
      <c r="K21" s="15"/>
      <c r="L21" s="252"/>
      <c r="M21" s="14"/>
      <c r="N21" s="252"/>
      <c r="O21" s="514"/>
    </row>
    <row r="22" spans="1:15" ht="12.75" customHeight="1">
      <c r="A22" s="401" t="s">
        <v>84</v>
      </c>
      <c r="B22" s="257" t="s">
        <v>291</v>
      </c>
      <c r="C22" s="252"/>
      <c r="D22" s="14"/>
      <c r="E22" s="252"/>
      <c r="F22" s="14"/>
      <c r="G22" s="252"/>
      <c r="H22" s="514"/>
      <c r="I22" s="257" t="s">
        <v>269</v>
      </c>
      <c r="J22" s="252"/>
      <c r="K22" s="14"/>
      <c r="L22" s="252"/>
      <c r="M22" s="14"/>
      <c r="N22" s="252"/>
      <c r="O22" s="514"/>
    </row>
    <row r="23" spans="1:15" ht="12.75" customHeight="1">
      <c r="A23" s="401" t="s">
        <v>85</v>
      </c>
      <c r="B23" s="257" t="s">
        <v>271</v>
      </c>
      <c r="C23" s="252"/>
      <c r="D23" s="14"/>
      <c r="E23" s="252"/>
      <c r="F23" s="14"/>
      <c r="G23" s="252"/>
      <c r="H23" s="514"/>
      <c r="I23" s="257" t="s">
        <v>270</v>
      </c>
      <c r="J23" s="252"/>
      <c r="K23" s="14"/>
      <c r="L23" s="252"/>
      <c r="M23" s="14"/>
      <c r="N23" s="252"/>
      <c r="O23" s="514"/>
    </row>
    <row r="24" spans="1:15" ht="12.75" customHeight="1">
      <c r="A24" s="401" t="s">
        <v>113</v>
      </c>
      <c r="B24" s="257" t="s">
        <v>272</v>
      </c>
      <c r="C24" s="252">
        <v>1056080</v>
      </c>
      <c r="D24" s="14"/>
      <c r="E24" s="252"/>
      <c r="F24" s="14"/>
      <c r="G24" s="252"/>
      <c r="H24" s="514"/>
      <c r="I24" s="257" t="s">
        <v>338</v>
      </c>
      <c r="J24" s="252"/>
      <c r="K24" s="14"/>
      <c r="L24" s="252"/>
      <c r="M24" s="14"/>
      <c r="N24" s="252"/>
      <c r="O24" s="514"/>
    </row>
    <row r="25" spans="1:15" ht="12.75" customHeight="1">
      <c r="A25" s="401" t="s">
        <v>114</v>
      </c>
      <c r="B25" s="257" t="s">
        <v>347</v>
      </c>
      <c r="C25" s="252"/>
      <c r="D25" s="14"/>
      <c r="E25" s="252"/>
      <c r="F25" s="14"/>
      <c r="G25" s="252"/>
      <c r="H25" s="514"/>
      <c r="I25" s="257" t="s">
        <v>273</v>
      </c>
      <c r="J25" s="252"/>
      <c r="K25" s="14"/>
      <c r="L25" s="252"/>
      <c r="M25" s="14"/>
      <c r="N25" s="252"/>
      <c r="O25" s="514"/>
    </row>
    <row r="26" spans="1:15" ht="12.75">
      <c r="A26" s="401" t="s">
        <v>115</v>
      </c>
      <c r="B26" s="257" t="s">
        <v>274</v>
      </c>
      <c r="C26" s="252"/>
      <c r="D26" s="14"/>
      <c r="E26" s="252"/>
      <c r="F26" s="14"/>
      <c r="G26" s="252"/>
      <c r="H26" s="514"/>
      <c r="I26" s="257"/>
      <c r="J26" s="252"/>
      <c r="K26" s="14"/>
      <c r="L26" s="252"/>
      <c r="M26" s="14"/>
      <c r="N26" s="252"/>
      <c r="O26" s="514"/>
    </row>
    <row r="27" spans="1:15" ht="12.75" customHeight="1" thickBot="1">
      <c r="A27" s="401" t="s">
        <v>117</v>
      </c>
      <c r="B27" s="258"/>
      <c r="C27" s="259"/>
      <c r="D27" s="17"/>
      <c r="E27" s="259"/>
      <c r="F27" s="17"/>
      <c r="G27" s="259"/>
      <c r="H27" s="515"/>
      <c r="I27" s="258"/>
      <c r="J27" s="259"/>
      <c r="K27" s="17"/>
      <c r="L27" s="259"/>
      <c r="M27" s="17"/>
      <c r="N27" s="259"/>
      <c r="O27" s="515"/>
    </row>
    <row r="28" spans="1:15" ht="22.5" customHeight="1" thickBot="1">
      <c r="A28" s="401" t="s">
        <v>119</v>
      </c>
      <c r="B28" s="260" t="s">
        <v>292</v>
      </c>
      <c r="C28" s="261">
        <f>SUM(C19:C27)</f>
        <v>1056080</v>
      </c>
      <c r="D28" s="270">
        <f>SUM(D19:D27)</f>
        <v>0</v>
      </c>
      <c r="E28" s="261">
        <f>SUM(E19:E27)</f>
        <v>0</v>
      </c>
      <c r="F28" s="270">
        <f>SUM(F19:F27)</f>
        <v>0</v>
      </c>
      <c r="G28" s="261">
        <f>SUM(G19:G27)</f>
        <v>0</v>
      </c>
      <c r="H28" s="516"/>
      <c r="I28" s="260" t="s">
        <v>293</v>
      </c>
      <c r="J28" s="261">
        <f>SUM(J18:J27)</f>
        <v>179859</v>
      </c>
      <c r="K28" s="270">
        <f>SUM(K18:K27)</f>
        <v>136096</v>
      </c>
      <c r="L28" s="261">
        <f>SUM(L18:L27)</f>
        <v>0</v>
      </c>
      <c r="M28" s="270">
        <f>SUM(M18:M27)</f>
        <v>0</v>
      </c>
      <c r="N28" s="261">
        <f>SUM(N18:N27)</f>
        <v>342393</v>
      </c>
      <c r="O28" s="516"/>
    </row>
    <row r="29" spans="1:15" ht="22.5" customHeight="1" thickBot="1">
      <c r="A29" s="401" t="s">
        <v>121</v>
      </c>
      <c r="B29" s="405" t="s">
        <v>294</v>
      </c>
      <c r="C29" s="266">
        <f>SUM(C28+C18+C17)</f>
        <v>1621810</v>
      </c>
      <c r="D29" s="272">
        <f>SUM(D28+D18+D17)</f>
        <v>1207095</v>
      </c>
      <c r="E29" s="266">
        <f>SUM(E28+E18+E17)</f>
        <v>2722256</v>
      </c>
      <c r="F29" s="272">
        <f>SUM(F28+F18+F17)</f>
        <v>2722709</v>
      </c>
      <c r="G29" s="266">
        <f>SUM(G28+G18+G17)</f>
        <v>902530</v>
      </c>
      <c r="H29" s="478">
        <f>G29/F29*100</f>
        <v>33.1482358195459</v>
      </c>
      <c r="I29" s="405" t="s">
        <v>295</v>
      </c>
      <c r="J29" s="266">
        <f>SUM(J28,J17)</f>
        <v>451587</v>
      </c>
      <c r="K29" s="272">
        <f>SUM(K28,K17)</f>
        <v>1295584</v>
      </c>
      <c r="L29" s="266">
        <f>SUM(L28,L17)</f>
        <v>2722256</v>
      </c>
      <c r="M29" s="272">
        <f>SUM(M28,M17)</f>
        <v>2722256</v>
      </c>
      <c r="N29" s="266">
        <f>SUM(N28,N17)</f>
        <v>914236</v>
      </c>
      <c r="O29" s="478">
        <f>N29/M29*100</f>
        <v>33.58376287902387</v>
      </c>
    </row>
    <row r="30" spans="1:15" ht="16.5" customHeight="1" thickBot="1">
      <c r="A30" s="401" t="s">
        <v>122</v>
      </c>
      <c r="B30" s="406" t="s">
        <v>279</v>
      </c>
      <c r="C30" s="261"/>
      <c r="D30" s="270">
        <f>SUM(K17-D17)</f>
        <v>165405</v>
      </c>
      <c r="E30" s="261">
        <f>SUM(L17-E17)</f>
        <v>1000000</v>
      </c>
      <c r="F30" s="261">
        <f>SUM(M17-F17)</f>
        <v>999547</v>
      </c>
      <c r="G30" s="261"/>
      <c r="H30" s="517"/>
      <c r="I30" s="406" t="s">
        <v>280</v>
      </c>
      <c r="J30" s="261">
        <f>SUM(C17-J17)</f>
        <v>89002</v>
      </c>
      <c r="K30" s="270"/>
      <c r="L30" s="261"/>
      <c r="M30" s="261"/>
      <c r="N30" s="261">
        <f>SUM(G17-N17)</f>
        <v>248723</v>
      </c>
      <c r="O30" s="517"/>
    </row>
  </sheetData>
  <mergeCells count="1">
    <mergeCell ref="N1:O1"/>
  </mergeCells>
  <printOptions horizontalCentered="1" verticalCentered="1"/>
  <pageMargins left="0.39375" right="0.39375" top="0.7597222222222222" bottom="0.19652777777777777" header="0.39375" footer="0.5118055555555555"/>
  <pageSetup fitToHeight="1" fitToWidth="1" horizontalDpi="300" verticalDpi="300" orientation="landscape" paperSize="9" r:id="rId1"/>
  <headerFooter alignWithMargins="0">
    <oddHeader>&amp;L&amp;8  5. melléklet a …/…..(….) önkormányzati határozathoz&amp;C&amp;"Arial CE,Félkövér"&amp;11Felhalmozási célú bevételek és kiadások mérlege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4:O20"/>
  <sheetViews>
    <sheetView zoomScale="75" zoomScaleNormal="75" workbookViewId="0" topLeftCell="A3">
      <pane ySplit="4" topLeftCell="BM7" activePane="bottomLeft" state="frozen"/>
      <selection pane="topLeft" activeCell="G22" sqref="G22"/>
      <selection pane="bottomLeft" activeCell="M33" sqref="M33"/>
    </sheetView>
  </sheetViews>
  <sheetFormatPr defaultColWidth="9.00390625" defaultRowHeight="12.75"/>
  <cols>
    <col min="1" max="1" width="37.875" style="0" customWidth="1"/>
    <col min="2" max="2" width="11.625" style="124" customWidth="1"/>
    <col min="3" max="3" width="12.125" style="124" bestFit="1" customWidth="1"/>
    <col min="4" max="4" width="11.75390625" style="124" customWidth="1"/>
    <col min="5" max="5" width="7.375" style="518" customWidth="1"/>
    <col min="6" max="7" width="11.875" style="124" customWidth="1"/>
    <col min="8" max="8" width="12.00390625" style="124" customWidth="1"/>
    <col min="9" max="9" width="6.375" style="518" customWidth="1"/>
    <col min="10" max="10" width="11.625" style="124" customWidth="1"/>
    <col min="11" max="11" width="12.125" style="124" bestFit="1" customWidth="1"/>
    <col min="12" max="12" width="10.875" style="124" bestFit="1" customWidth="1"/>
    <col min="13" max="13" width="6.875" style="518" customWidth="1"/>
  </cols>
  <sheetData>
    <row r="4" spans="12:13" ht="13.5" thickBot="1">
      <c r="L4" s="228"/>
      <c r="M4" s="143"/>
    </row>
    <row r="5" spans="1:13" s="522" customFormat="1" ht="24.75" customHeight="1" thickBot="1">
      <c r="A5" s="521"/>
      <c r="B5" s="577" t="s">
        <v>36</v>
      </c>
      <c r="C5" s="578"/>
      <c r="D5" s="578"/>
      <c r="E5" s="579"/>
      <c r="F5" s="577" t="s">
        <v>37</v>
      </c>
      <c r="G5" s="578"/>
      <c r="H5" s="578"/>
      <c r="I5" s="579"/>
      <c r="J5" s="577" t="s">
        <v>38</v>
      </c>
      <c r="K5" s="578"/>
      <c r="L5" s="578"/>
      <c r="M5" s="579"/>
    </row>
    <row r="6" spans="1:13" s="522" customFormat="1" ht="32.25" thickBot="1">
      <c r="A6" s="523" t="s">
        <v>39</v>
      </c>
      <c r="B6" s="527" t="s">
        <v>57</v>
      </c>
      <c r="C6" s="528" t="s">
        <v>483</v>
      </c>
      <c r="D6" s="529" t="s">
        <v>40</v>
      </c>
      <c r="E6" s="530" t="s">
        <v>41</v>
      </c>
      <c r="F6" s="527" t="s">
        <v>57</v>
      </c>
      <c r="G6" s="528" t="s">
        <v>483</v>
      </c>
      <c r="H6" s="529" t="s">
        <v>40</v>
      </c>
      <c r="I6" s="530" t="s">
        <v>41</v>
      </c>
      <c r="J6" s="527" t="s">
        <v>57</v>
      </c>
      <c r="K6" s="528" t="s">
        <v>483</v>
      </c>
      <c r="L6" s="529" t="s">
        <v>40</v>
      </c>
      <c r="M6" s="530" t="s">
        <v>41</v>
      </c>
    </row>
    <row r="7" spans="1:13" ht="21" customHeight="1">
      <c r="A7" s="134" t="s">
        <v>479</v>
      </c>
      <c r="B7" s="524">
        <v>56135</v>
      </c>
      <c r="C7" s="525">
        <v>56135</v>
      </c>
      <c r="D7" s="525">
        <v>22737</v>
      </c>
      <c r="E7" s="526">
        <f>D7/C7*100</f>
        <v>40.50414180101541</v>
      </c>
      <c r="F7" s="524">
        <v>56135</v>
      </c>
      <c r="G7" s="525">
        <v>56135</v>
      </c>
      <c r="H7" s="525">
        <v>23456</v>
      </c>
      <c r="I7" s="526">
        <f>H7/G7*100</f>
        <v>41.78498263115703</v>
      </c>
      <c r="J7" s="524">
        <v>31440</v>
      </c>
      <c r="K7" s="525">
        <v>31440</v>
      </c>
      <c r="L7" s="525">
        <v>15048</v>
      </c>
      <c r="M7" s="526">
        <f>L7/K7*100</f>
        <v>47.862595419847324</v>
      </c>
    </row>
    <row r="8" spans="1:15" ht="21" customHeight="1">
      <c r="A8" s="135" t="s">
        <v>8</v>
      </c>
      <c r="B8" s="90">
        <v>65519</v>
      </c>
      <c r="C8" s="21">
        <v>65519</v>
      </c>
      <c r="D8" s="21">
        <v>60406</v>
      </c>
      <c r="E8" s="519">
        <f aca="true" t="shared" si="0" ref="E8:E17">D8/C8*100</f>
        <v>92.19615684000061</v>
      </c>
      <c r="F8" s="90">
        <v>65519</v>
      </c>
      <c r="G8" s="21">
        <v>65519</v>
      </c>
      <c r="H8" s="21">
        <v>65907</v>
      </c>
      <c r="I8" s="519">
        <f aca="true" t="shared" si="1" ref="I8:I17">H8/G8*100</f>
        <v>100.59219463056519</v>
      </c>
      <c r="J8" s="90">
        <v>32955</v>
      </c>
      <c r="K8" s="21">
        <v>32955</v>
      </c>
      <c r="L8" s="21">
        <v>16546</v>
      </c>
      <c r="M8" s="519">
        <f aca="true" t="shared" si="2" ref="M8:M17">L8/K8*100</f>
        <v>50.20785920194204</v>
      </c>
      <c r="O8" s="189"/>
    </row>
    <row r="9" spans="1:13" ht="21" customHeight="1">
      <c r="A9" s="135" t="s">
        <v>12</v>
      </c>
      <c r="B9" s="90">
        <v>130000</v>
      </c>
      <c r="C9" s="21">
        <v>130000</v>
      </c>
      <c r="D9" s="21">
        <v>69622</v>
      </c>
      <c r="E9" s="519">
        <f t="shared" si="0"/>
        <v>53.55538461538462</v>
      </c>
      <c r="F9" s="90">
        <v>130000</v>
      </c>
      <c r="G9" s="21">
        <v>130000</v>
      </c>
      <c r="H9" s="21">
        <v>67527</v>
      </c>
      <c r="I9" s="519">
        <f t="shared" si="1"/>
        <v>51.94384615384615</v>
      </c>
      <c r="J9" s="90">
        <v>64377</v>
      </c>
      <c r="K9" s="21">
        <v>64377</v>
      </c>
      <c r="L9" s="21">
        <v>27147</v>
      </c>
      <c r="M9" s="519">
        <f t="shared" si="2"/>
        <v>42.168786989142085</v>
      </c>
    </row>
    <row r="10" spans="1:13" ht="21" customHeight="1">
      <c r="A10" s="137" t="s">
        <v>15</v>
      </c>
      <c r="B10" s="90">
        <v>231427</v>
      </c>
      <c r="C10" s="21">
        <v>231427</v>
      </c>
      <c r="D10" s="21">
        <v>111723</v>
      </c>
      <c r="E10" s="519">
        <f t="shared" si="0"/>
        <v>48.27569816832089</v>
      </c>
      <c r="F10" s="90">
        <v>231427</v>
      </c>
      <c r="G10" s="21">
        <v>231427</v>
      </c>
      <c r="H10" s="21">
        <v>113861</v>
      </c>
      <c r="I10" s="519">
        <f t="shared" si="1"/>
        <v>49.19953160175779</v>
      </c>
      <c r="J10" s="90">
        <v>156998</v>
      </c>
      <c r="K10" s="21">
        <v>156998</v>
      </c>
      <c r="L10" s="21">
        <v>79018</v>
      </c>
      <c r="M10" s="519">
        <f t="shared" si="2"/>
        <v>50.33057745958547</v>
      </c>
    </row>
    <row r="11" spans="1:13" ht="21" customHeight="1">
      <c r="A11" s="137" t="s">
        <v>17</v>
      </c>
      <c r="B11" s="90">
        <v>323436</v>
      </c>
      <c r="C11" s="21">
        <v>323436</v>
      </c>
      <c r="D11" s="21">
        <v>155837</v>
      </c>
      <c r="E11" s="519">
        <f t="shared" si="0"/>
        <v>48.18171137412038</v>
      </c>
      <c r="F11" s="90">
        <v>323436</v>
      </c>
      <c r="G11" s="21">
        <v>323436</v>
      </c>
      <c r="H11" s="21">
        <v>154845</v>
      </c>
      <c r="I11" s="519">
        <f t="shared" si="1"/>
        <v>47.875004637702666</v>
      </c>
      <c r="J11" s="90">
        <v>195655</v>
      </c>
      <c r="K11" s="21">
        <v>195655</v>
      </c>
      <c r="L11" s="21">
        <v>99088</v>
      </c>
      <c r="M11" s="519">
        <f t="shared" si="2"/>
        <v>50.644246249776394</v>
      </c>
    </row>
    <row r="12" spans="1:13" ht="21" customHeight="1" thickBot="1">
      <c r="A12" s="137" t="s">
        <v>375</v>
      </c>
      <c r="B12" s="90">
        <v>66127</v>
      </c>
      <c r="C12" s="21">
        <v>66127</v>
      </c>
      <c r="D12" s="21">
        <v>27901</v>
      </c>
      <c r="E12" s="519">
        <f t="shared" si="0"/>
        <v>42.193052762109275</v>
      </c>
      <c r="F12" s="90">
        <v>66127</v>
      </c>
      <c r="G12" s="21">
        <v>66127</v>
      </c>
      <c r="H12" s="21">
        <v>20660</v>
      </c>
      <c r="I12" s="519">
        <f t="shared" si="1"/>
        <v>31.242911367520076</v>
      </c>
      <c r="J12" s="90">
        <v>9314</v>
      </c>
      <c r="K12" s="21">
        <v>9314</v>
      </c>
      <c r="L12" s="21">
        <v>6564</v>
      </c>
      <c r="M12" s="519">
        <f t="shared" si="2"/>
        <v>70.4745544341851</v>
      </c>
    </row>
    <row r="13" spans="1:13" ht="24.75" customHeight="1" thickBot="1">
      <c r="A13" s="136" t="s">
        <v>45</v>
      </c>
      <c r="B13" s="29">
        <f>SUM(B7:B12)</f>
        <v>872644</v>
      </c>
      <c r="C13" s="26">
        <f>SUM(C7:C12)</f>
        <v>872644</v>
      </c>
      <c r="D13" s="26">
        <f>SUM(D7:D12)</f>
        <v>448226</v>
      </c>
      <c r="E13" s="520">
        <f t="shared" si="0"/>
        <v>51.36413016075284</v>
      </c>
      <c r="F13" s="29">
        <f>SUM(F7:F12)</f>
        <v>872644</v>
      </c>
      <c r="G13" s="26">
        <f>SUM(G7:G12)</f>
        <v>872644</v>
      </c>
      <c r="H13" s="26">
        <f>SUM(H7:H12)</f>
        <v>446256</v>
      </c>
      <c r="I13" s="520">
        <f t="shared" si="1"/>
        <v>51.13837945370621</v>
      </c>
      <c r="J13" s="29">
        <f>SUM(J7:J12)</f>
        <v>490739</v>
      </c>
      <c r="K13" s="26">
        <f>SUM(K7:K12)</f>
        <v>490739</v>
      </c>
      <c r="L13" s="26">
        <f>SUM(L7:L12)</f>
        <v>243411</v>
      </c>
      <c r="M13" s="520">
        <f t="shared" si="2"/>
        <v>49.60090801831524</v>
      </c>
    </row>
    <row r="14" spans="1:13" ht="21" customHeight="1">
      <c r="A14" s="144" t="s">
        <v>14</v>
      </c>
      <c r="B14" s="90">
        <v>760535</v>
      </c>
      <c r="C14" s="21">
        <v>760535</v>
      </c>
      <c r="D14" s="21">
        <v>321318</v>
      </c>
      <c r="E14" s="519">
        <f t="shared" si="0"/>
        <v>42.24894317815748</v>
      </c>
      <c r="F14" s="90">
        <v>760535</v>
      </c>
      <c r="G14" s="21">
        <v>760535</v>
      </c>
      <c r="H14" s="21">
        <v>320005</v>
      </c>
      <c r="I14" s="519">
        <f t="shared" si="1"/>
        <v>42.076301550881944</v>
      </c>
      <c r="J14" s="90">
        <v>220146</v>
      </c>
      <c r="K14" s="21">
        <v>220146</v>
      </c>
      <c r="L14" s="21">
        <v>116048</v>
      </c>
      <c r="M14" s="519">
        <f t="shared" si="2"/>
        <v>52.714107910205044</v>
      </c>
    </row>
    <row r="15" spans="1:13" ht="21" customHeight="1" thickBot="1">
      <c r="A15" s="144" t="s">
        <v>326</v>
      </c>
      <c r="B15" s="90">
        <v>4257778</v>
      </c>
      <c r="C15" s="21">
        <v>4406414</v>
      </c>
      <c r="D15" s="21">
        <v>2893657</v>
      </c>
      <c r="E15" s="519">
        <f t="shared" si="0"/>
        <v>65.6692040284912</v>
      </c>
      <c r="F15" s="90">
        <v>4257778</v>
      </c>
      <c r="G15" s="21">
        <v>4406414</v>
      </c>
      <c r="H15" s="21">
        <v>2772318</v>
      </c>
      <c r="I15" s="519">
        <f t="shared" si="1"/>
        <v>62.91551361265646</v>
      </c>
      <c r="J15" s="90">
        <v>351974</v>
      </c>
      <c r="K15" s="21">
        <v>351974</v>
      </c>
      <c r="L15" s="21">
        <v>114044</v>
      </c>
      <c r="M15" s="519">
        <f t="shared" si="2"/>
        <v>32.40125691102184</v>
      </c>
    </row>
    <row r="16" spans="1:13" ht="21" customHeight="1" thickBot="1">
      <c r="A16" s="136" t="s">
        <v>45</v>
      </c>
      <c r="B16" s="145">
        <f>SUM(B14:B15)</f>
        <v>5018313</v>
      </c>
      <c r="C16" s="67">
        <f>SUM(C14:C15)</f>
        <v>5166949</v>
      </c>
      <c r="D16" s="67">
        <f aca="true" t="shared" si="3" ref="D16:L16">SUM(D14:D15)</f>
        <v>3214975</v>
      </c>
      <c r="E16" s="520">
        <f t="shared" si="0"/>
        <v>62.22192245365689</v>
      </c>
      <c r="F16" s="145">
        <f t="shared" si="3"/>
        <v>5018313</v>
      </c>
      <c r="G16" s="67">
        <f t="shared" si="3"/>
        <v>5166949</v>
      </c>
      <c r="H16" s="67">
        <f t="shared" si="3"/>
        <v>3092323</v>
      </c>
      <c r="I16" s="520">
        <f t="shared" si="1"/>
        <v>59.848142491826415</v>
      </c>
      <c r="J16" s="145">
        <f t="shared" si="3"/>
        <v>572120</v>
      </c>
      <c r="K16" s="67">
        <f t="shared" si="3"/>
        <v>572120</v>
      </c>
      <c r="L16" s="67">
        <f t="shared" si="3"/>
        <v>230092</v>
      </c>
      <c r="M16" s="520">
        <f t="shared" si="2"/>
        <v>40.217436901349366</v>
      </c>
    </row>
    <row r="17" spans="1:13" ht="24.75" customHeight="1" thickBot="1">
      <c r="A17" s="136" t="s">
        <v>81</v>
      </c>
      <c r="B17" s="29">
        <f>B13+B16</f>
        <v>5890957</v>
      </c>
      <c r="C17" s="26">
        <f>C13+C16</f>
        <v>6039593</v>
      </c>
      <c r="D17" s="26">
        <f>D13+D16</f>
        <v>3663201</v>
      </c>
      <c r="E17" s="520">
        <f t="shared" si="0"/>
        <v>60.6531102344148</v>
      </c>
      <c r="F17" s="29">
        <f>F13+F16</f>
        <v>5890957</v>
      </c>
      <c r="G17" s="26">
        <f>G13+G16</f>
        <v>6039593</v>
      </c>
      <c r="H17" s="26">
        <f>H13+H16</f>
        <v>3538579</v>
      </c>
      <c r="I17" s="520">
        <f t="shared" si="1"/>
        <v>58.58969304719706</v>
      </c>
      <c r="J17" s="29">
        <f>J13+J16</f>
        <v>1062859</v>
      </c>
      <c r="K17" s="26">
        <f>K13+K16</f>
        <v>1062859</v>
      </c>
      <c r="L17" s="26">
        <f>L13+L16</f>
        <v>473503</v>
      </c>
      <c r="M17" s="520">
        <f t="shared" si="2"/>
        <v>44.54993559823081</v>
      </c>
    </row>
    <row r="18" spans="1:8" ht="15.75">
      <c r="A18" s="22"/>
      <c r="D18" s="23"/>
      <c r="H18" s="23"/>
    </row>
    <row r="19" spans="4:8" ht="12.75">
      <c r="D19" s="126"/>
      <c r="H19" s="126"/>
    </row>
    <row r="20" ht="12.75">
      <c r="D20" s="126"/>
    </row>
  </sheetData>
  <mergeCells count="3">
    <mergeCell ref="B5:E5"/>
    <mergeCell ref="F5:I5"/>
    <mergeCell ref="J5:M5"/>
  </mergeCells>
  <printOptions horizontalCentered="1"/>
  <pageMargins left="0.35" right="0.34" top="0.78" bottom="0.55" header="0.38" footer="0.37"/>
  <pageSetup horizontalDpi="600" verticalDpi="600" orientation="landscape" paperSize="9" scale="85" r:id="rId1"/>
  <headerFooter alignWithMargins="0">
    <oddHeader>&amp;L&amp;9 6. melléklet a .../...(....) önkormányzati határozathoz&amp;C&amp;"Arial CE,Félkövér"&amp;12
Önállóan működő és gazdálkodó költségvetési szervek 2013. I. félévi bevételei és kiadásai részletezése
&amp;R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4:K18"/>
  <sheetViews>
    <sheetView workbookViewId="0" topLeftCell="A1">
      <pane xSplit="1" ySplit="5" topLeftCell="B6" activePane="bottomRight" state="frozen"/>
      <selection pane="topLeft" activeCell="G22" sqref="G22"/>
      <selection pane="topRight" activeCell="G22" sqref="G22"/>
      <selection pane="bottomLeft" activeCell="G22" sqref="G22"/>
      <selection pane="bottomRight" activeCell="D31" sqref="D31"/>
    </sheetView>
  </sheetViews>
  <sheetFormatPr defaultColWidth="9.00390625" defaultRowHeight="12.75"/>
  <cols>
    <col min="1" max="1" width="33.125" style="0" customWidth="1"/>
    <col min="2" max="2" width="12.75390625" style="0" customWidth="1"/>
    <col min="3" max="3" width="11.625" style="0" bestFit="1" customWidth="1"/>
    <col min="4" max="4" width="10.25390625" style="0" customWidth="1"/>
    <col min="5" max="5" width="11.375" style="0" customWidth="1"/>
    <col min="6" max="6" width="11.125" style="0" bestFit="1" customWidth="1"/>
    <col min="7" max="7" width="10.875" style="0" customWidth="1"/>
    <col min="8" max="8" width="10.75390625" style="0" bestFit="1" customWidth="1"/>
    <col min="9" max="9" width="9.00390625" style="0" customWidth="1"/>
    <col min="10" max="10" width="10.875" style="0" customWidth="1"/>
    <col min="11" max="11" width="12.125" style="0" bestFit="1" customWidth="1"/>
  </cols>
  <sheetData>
    <row r="4" spans="9:10" s="124" customFormat="1" ht="13.5" thickBot="1">
      <c r="I4" s="580" t="s">
        <v>82</v>
      </c>
      <c r="J4" s="581"/>
    </row>
    <row r="5" spans="1:10" s="124" customFormat="1" ht="57.75" thickBot="1">
      <c r="A5" s="236" t="s">
        <v>39</v>
      </c>
      <c r="B5" s="237" t="s">
        <v>42</v>
      </c>
      <c r="C5" s="237" t="s">
        <v>92</v>
      </c>
      <c r="D5" s="237" t="s">
        <v>91</v>
      </c>
      <c r="E5" s="237" t="s">
        <v>97</v>
      </c>
      <c r="F5" s="237" t="s">
        <v>93</v>
      </c>
      <c r="G5" s="237" t="s">
        <v>44</v>
      </c>
      <c r="H5" s="237" t="s">
        <v>43</v>
      </c>
      <c r="I5" s="237" t="s">
        <v>56</v>
      </c>
      <c r="J5" s="238" t="s">
        <v>45</v>
      </c>
    </row>
    <row r="6" spans="1:11" s="124" customFormat="1" ht="15.75" customHeight="1">
      <c r="A6" s="103" t="s">
        <v>479</v>
      </c>
      <c r="B6" s="239">
        <v>731</v>
      </c>
      <c r="C6" s="239">
        <v>273</v>
      </c>
      <c r="D6" s="239">
        <v>3221</v>
      </c>
      <c r="E6" s="240">
        <v>21733</v>
      </c>
      <c r="F6" s="239"/>
      <c r="G6" s="240"/>
      <c r="H6" s="239"/>
      <c r="I6" s="240">
        <v>-3221</v>
      </c>
      <c r="J6" s="241">
        <f aca="true" t="shared" si="0" ref="J6:J14">SUM(B6:I6)</f>
        <v>22737</v>
      </c>
      <c r="K6" s="203"/>
    </row>
    <row r="7" spans="1:11" s="124" customFormat="1" ht="15.75" customHeight="1">
      <c r="A7" s="39" t="s">
        <v>8</v>
      </c>
      <c r="B7" s="106">
        <v>11031</v>
      </c>
      <c r="C7" s="106">
        <v>10347</v>
      </c>
      <c r="D7" s="106"/>
      <c r="E7" s="106">
        <v>49381</v>
      </c>
      <c r="F7" s="106"/>
      <c r="G7" s="106"/>
      <c r="H7" s="106"/>
      <c r="I7" s="106">
        <v>-10353</v>
      </c>
      <c r="J7" s="107">
        <f t="shared" si="0"/>
        <v>60406</v>
      </c>
      <c r="K7" s="203"/>
    </row>
    <row r="8" spans="1:11" s="126" customFormat="1" ht="15.75" customHeight="1">
      <c r="A8" s="242" t="s">
        <v>12</v>
      </c>
      <c r="B8" s="106">
        <v>2212</v>
      </c>
      <c r="C8" s="106">
        <v>67376</v>
      </c>
      <c r="D8" s="106"/>
      <c r="E8" s="106"/>
      <c r="F8" s="106"/>
      <c r="G8" s="106"/>
      <c r="H8" s="106"/>
      <c r="I8" s="106">
        <v>34</v>
      </c>
      <c r="J8" s="109">
        <f t="shared" si="0"/>
        <v>69622</v>
      </c>
      <c r="K8" s="204"/>
    </row>
    <row r="9" spans="1:10" s="124" customFormat="1" ht="15.75" customHeight="1">
      <c r="A9" s="101" t="s">
        <v>15</v>
      </c>
      <c r="B9" s="106">
        <v>134</v>
      </c>
      <c r="C9" s="106"/>
      <c r="D9" s="106"/>
      <c r="E9" s="106">
        <v>111589</v>
      </c>
      <c r="F9" s="106"/>
      <c r="G9" s="106"/>
      <c r="H9" s="106"/>
      <c r="I9" s="106"/>
      <c r="J9" s="109">
        <f t="shared" si="0"/>
        <v>111723</v>
      </c>
    </row>
    <row r="10" spans="1:10" s="124" customFormat="1" ht="15.75" customHeight="1">
      <c r="A10" s="101" t="s">
        <v>17</v>
      </c>
      <c r="B10" s="106">
        <v>15553</v>
      </c>
      <c r="C10" s="106">
        <v>1124</v>
      </c>
      <c r="D10" s="106"/>
      <c r="E10" s="106">
        <v>139157</v>
      </c>
      <c r="F10" s="106"/>
      <c r="G10" s="106"/>
      <c r="H10" s="106"/>
      <c r="I10" s="106">
        <v>3</v>
      </c>
      <c r="J10" s="109">
        <f t="shared" si="0"/>
        <v>155837</v>
      </c>
    </row>
    <row r="11" spans="1:10" s="124" customFormat="1" ht="15.75" customHeight="1" thickBot="1">
      <c r="A11" s="243" t="s">
        <v>375</v>
      </c>
      <c r="B11" s="123">
        <v>1954</v>
      </c>
      <c r="C11" s="123"/>
      <c r="D11" s="123">
        <v>12725</v>
      </c>
      <c r="E11" s="123">
        <v>13222</v>
      </c>
      <c r="F11" s="123"/>
      <c r="G11" s="123"/>
      <c r="H11" s="123"/>
      <c r="I11" s="123"/>
      <c r="J11" s="244">
        <f t="shared" si="0"/>
        <v>27901</v>
      </c>
    </row>
    <row r="12" spans="1:10" s="124" customFormat="1" ht="15.75" customHeight="1" thickBot="1">
      <c r="A12" s="87" t="s">
        <v>45</v>
      </c>
      <c r="B12" s="110">
        <f>SUM(B6:B11)</f>
        <v>31615</v>
      </c>
      <c r="C12" s="110">
        <f aca="true" t="shared" si="1" ref="C12:J12">SUM(C6:C11)</f>
        <v>79120</v>
      </c>
      <c r="D12" s="110">
        <f t="shared" si="1"/>
        <v>15946</v>
      </c>
      <c r="E12" s="110">
        <f t="shared" si="1"/>
        <v>335082</v>
      </c>
      <c r="F12" s="110">
        <f t="shared" si="1"/>
        <v>0</v>
      </c>
      <c r="G12" s="110">
        <f t="shared" si="1"/>
        <v>0</v>
      </c>
      <c r="H12" s="110">
        <f t="shared" si="1"/>
        <v>0</v>
      </c>
      <c r="I12" s="110">
        <f t="shared" si="1"/>
        <v>-13537</v>
      </c>
      <c r="J12" s="111">
        <f t="shared" si="1"/>
        <v>448226</v>
      </c>
    </row>
    <row r="13" spans="1:10" s="124" customFormat="1" ht="15.75" customHeight="1">
      <c r="A13" s="245" t="s">
        <v>14</v>
      </c>
      <c r="B13" s="240">
        <v>20504</v>
      </c>
      <c r="C13" s="239">
        <v>650</v>
      </c>
      <c r="D13" s="239"/>
      <c r="E13" s="239">
        <v>300122</v>
      </c>
      <c r="F13" s="239"/>
      <c r="G13" s="239"/>
      <c r="H13" s="239"/>
      <c r="I13" s="239">
        <v>42</v>
      </c>
      <c r="J13" s="241">
        <f t="shared" si="0"/>
        <v>321318</v>
      </c>
    </row>
    <row r="14" spans="1:10" s="124" customFormat="1" ht="15.75" customHeight="1" thickBot="1">
      <c r="A14" s="246" t="s">
        <v>326</v>
      </c>
      <c r="B14" s="123">
        <v>694032</v>
      </c>
      <c r="C14" s="122">
        <v>229382</v>
      </c>
      <c r="D14" s="122">
        <v>803944</v>
      </c>
      <c r="E14" s="122">
        <v>620183</v>
      </c>
      <c r="F14" s="122">
        <v>676</v>
      </c>
      <c r="G14" s="122">
        <v>81964</v>
      </c>
      <c r="H14" s="122">
        <v>1091265</v>
      </c>
      <c r="I14" s="122">
        <v>7415</v>
      </c>
      <c r="J14" s="244">
        <f t="shared" si="0"/>
        <v>3528861</v>
      </c>
    </row>
    <row r="15" spans="1:10" s="124" customFormat="1" ht="15.75" customHeight="1" thickBot="1">
      <c r="A15" s="102" t="s">
        <v>45</v>
      </c>
      <c r="B15" s="110">
        <f>SUM(B13:B14)</f>
        <v>714536</v>
      </c>
      <c r="C15" s="110">
        <f aca="true" t="shared" si="2" ref="C15:I15">SUM(C13:C14)</f>
        <v>230032</v>
      </c>
      <c r="D15" s="110">
        <f>SUM(D13:D14)</f>
        <v>803944</v>
      </c>
      <c r="E15" s="110">
        <f t="shared" si="2"/>
        <v>920305</v>
      </c>
      <c r="F15" s="110">
        <f t="shared" si="2"/>
        <v>676</v>
      </c>
      <c r="G15" s="110">
        <f t="shared" si="2"/>
        <v>81964</v>
      </c>
      <c r="H15" s="110">
        <f t="shared" si="2"/>
        <v>1091265</v>
      </c>
      <c r="I15" s="110">
        <f t="shared" si="2"/>
        <v>7457</v>
      </c>
      <c r="J15" s="111">
        <f>SUM(B15:I15)</f>
        <v>3850179</v>
      </c>
    </row>
    <row r="16" spans="1:10" s="124" customFormat="1" ht="15.75" customHeight="1" thickBot="1">
      <c r="A16" s="25" t="s">
        <v>81</v>
      </c>
      <c r="B16" s="205">
        <f>B12+B15</f>
        <v>746151</v>
      </c>
      <c r="C16" s="205">
        <f aca="true" t="shared" si="3" ref="C16:J16">C12+C15</f>
        <v>309152</v>
      </c>
      <c r="D16" s="205">
        <f t="shared" si="3"/>
        <v>819890</v>
      </c>
      <c r="E16" s="205">
        <f t="shared" si="3"/>
        <v>1255387</v>
      </c>
      <c r="F16" s="205">
        <f t="shared" si="3"/>
        <v>676</v>
      </c>
      <c r="G16" s="205">
        <f t="shared" si="3"/>
        <v>81964</v>
      </c>
      <c r="H16" s="205">
        <f t="shared" si="3"/>
        <v>1091265</v>
      </c>
      <c r="I16" s="205">
        <f t="shared" si="3"/>
        <v>-6080</v>
      </c>
      <c r="J16" s="105">
        <f t="shared" si="3"/>
        <v>4298405</v>
      </c>
    </row>
    <row r="17" s="124" customFormat="1" ht="12.75"/>
    <row r="18" s="124" customFormat="1" ht="12.75">
      <c r="C18" s="126"/>
    </row>
  </sheetData>
  <mergeCells count="1">
    <mergeCell ref="I4:J4"/>
  </mergeCells>
  <printOptions horizontalCentered="1"/>
  <pageMargins left="0.17" right="0.17" top="0.66" bottom="0.65" header="0.24" footer="0.5118110236220472"/>
  <pageSetup horizontalDpi="600" verticalDpi="600" orientation="landscape" paperSize="9" scale="110" r:id="rId1"/>
  <headerFooter alignWithMargins="0">
    <oddHeader>&amp;L&amp;9 7. melléklet a .../...(....) önkormányzati határozathoz&amp;C&amp;"Times New Roman CE,Normál"&amp;11
&amp;"Arial CE,Félkövér"Önállóan működő és gazdálkodó költségvetési szervek 2013. I.félévi bevételei&amp;"Arial CE,Normál"&amp;10
&amp;R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5:L19"/>
  <sheetViews>
    <sheetView workbookViewId="0" topLeftCell="A1">
      <pane xSplit="1" ySplit="6" topLeftCell="B7" activePane="bottomRight" state="frozen"/>
      <selection pane="topLeft" activeCell="G22" sqref="G22"/>
      <selection pane="topRight" activeCell="G22" sqref="G22"/>
      <selection pane="bottomLeft" activeCell="G22" sqref="G22"/>
      <selection pane="bottomRight" activeCell="G15" sqref="G15:H15"/>
    </sheetView>
  </sheetViews>
  <sheetFormatPr defaultColWidth="9.00390625" defaultRowHeight="12.75"/>
  <cols>
    <col min="1" max="1" width="33.25390625" style="0" customWidth="1"/>
    <col min="2" max="3" width="10.375" style="0" customWidth="1"/>
    <col min="4" max="4" width="9.625" style="0" bestFit="1" customWidth="1"/>
    <col min="5" max="5" width="9.625" style="0" customWidth="1"/>
    <col min="6" max="6" width="10.00390625" style="0" bestFit="1" customWidth="1"/>
    <col min="7" max="7" width="9.375" style="0" customWidth="1"/>
    <col min="8" max="8" width="9.625" style="0" customWidth="1"/>
    <col min="9" max="9" width="10.875" style="0" customWidth="1"/>
    <col min="10" max="10" width="10.625" style="0" customWidth="1"/>
    <col min="11" max="11" width="9.75390625" style="0" bestFit="1" customWidth="1"/>
    <col min="12" max="12" width="10.875" style="0" customWidth="1"/>
  </cols>
  <sheetData>
    <row r="4" s="124" customFormat="1" ht="12.75"/>
    <row r="5" spans="5:12" s="124" customFormat="1" ht="13.5" thickBot="1">
      <c r="E5" s="206"/>
      <c r="K5" s="582" t="s">
        <v>82</v>
      </c>
      <c r="L5" s="583"/>
    </row>
    <row r="6" spans="1:12" s="124" customFormat="1" ht="64.5" thickBot="1">
      <c r="A6" s="146" t="s">
        <v>39</v>
      </c>
      <c r="B6" s="147" t="s">
        <v>86</v>
      </c>
      <c r="C6" s="147" t="s">
        <v>46</v>
      </c>
      <c r="D6" s="147" t="s">
        <v>95</v>
      </c>
      <c r="E6" s="147" t="s">
        <v>87</v>
      </c>
      <c r="F6" s="147" t="s">
        <v>88</v>
      </c>
      <c r="G6" s="147" t="s">
        <v>48</v>
      </c>
      <c r="H6" s="147" t="s">
        <v>89</v>
      </c>
      <c r="I6" s="147" t="s">
        <v>96</v>
      </c>
      <c r="J6" s="147" t="s">
        <v>90</v>
      </c>
      <c r="K6" s="148" t="s">
        <v>94</v>
      </c>
      <c r="L6" s="149" t="s">
        <v>45</v>
      </c>
    </row>
    <row r="7" spans="1:12" s="124" customFormat="1" ht="15.75" customHeight="1">
      <c r="A7" s="103" t="s">
        <v>479</v>
      </c>
      <c r="B7" s="239">
        <v>15048</v>
      </c>
      <c r="C7" s="239">
        <v>3769</v>
      </c>
      <c r="D7" s="239">
        <v>5103</v>
      </c>
      <c r="E7" s="240"/>
      <c r="F7" s="239"/>
      <c r="G7" s="240"/>
      <c r="H7" s="239"/>
      <c r="I7" s="240"/>
      <c r="J7" s="239"/>
      <c r="K7" s="239">
        <v>-464</v>
      </c>
      <c r="L7" s="104">
        <f aca="true" t="shared" si="0" ref="L7:L12">SUM(B7:K7)</f>
        <v>23456</v>
      </c>
    </row>
    <row r="8" spans="1:12" s="124" customFormat="1" ht="15.75" customHeight="1">
      <c r="A8" s="39" t="s">
        <v>8</v>
      </c>
      <c r="B8" s="106">
        <v>16546</v>
      </c>
      <c r="C8" s="106">
        <v>4304</v>
      </c>
      <c r="D8" s="106">
        <v>42144</v>
      </c>
      <c r="E8" s="106"/>
      <c r="F8" s="106">
        <v>1955</v>
      </c>
      <c r="G8" s="106"/>
      <c r="H8" s="106"/>
      <c r="I8" s="106"/>
      <c r="J8" s="106"/>
      <c r="K8" s="106">
        <v>958</v>
      </c>
      <c r="L8" s="24">
        <f t="shared" si="0"/>
        <v>65907</v>
      </c>
    </row>
    <row r="9" spans="1:12" s="124" customFormat="1" ht="15.75" customHeight="1">
      <c r="A9" s="39" t="s">
        <v>12</v>
      </c>
      <c r="B9" s="106">
        <v>27147</v>
      </c>
      <c r="C9" s="106">
        <v>6620</v>
      </c>
      <c r="D9" s="106">
        <v>35303</v>
      </c>
      <c r="E9" s="106"/>
      <c r="F9" s="106"/>
      <c r="G9" s="106"/>
      <c r="H9" s="106"/>
      <c r="I9" s="106"/>
      <c r="J9" s="108"/>
      <c r="K9" s="108">
        <v>-1543</v>
      </c>
      <c r="L9" s="109">
        <f t="shared" si="0"/>
        <v>67527</v>
      </c>
    </row>
    <row r="10" spans="1:12" s="124" customFormat="1" ht="15.75" customHeight="1">
      <c r="A10" s="101" t="s">
        <v>15</v>
      </c>
      <c r="B10" s="106">
        <v>79018</v>
      </c>
      <c r="C10" s="106">
        <v>19849</v>
      </c>
      <c r="D10" s="106">
        <v>14307</v>
      </c>
      <c r="E10" s="106"/>
      <c r="F10" s="106"/>
      <c r="G10" s="106"/>
      <c r="H10" s="106"/>
      <c r="I10" s="106"/>
      <c r="J10" s="108"/>
      <c r="K10" s="108">
        <v>687</v>
      </c>
      <c r="L10" s="109">
        <f t="shared" si="0"/>
        <v>113861</v>
      </c>
    </row>
    <row r="11" spans="1:12" s="124" customFormat="1" ht="15.75" customHeight="1">
      <c r="A11" s="101" t="s">
        <v>17</v>
      </c>
      <c r="B11" s="106">
        <v>99088</v>
      </c>
      <c r="C11" s="106">
        <v>23609</v>
      </c>
      <c r="D11" s="106">
        <v>30008</v>
      </c>
      <c r="E11" s="106">
        <v>494</v>
      </c>
      <c r="F11" s="106">
        <v>98</v>
      </c>
      <c r="G11" s="106"/>
      <c r="H11" s="106"/>
      <c r="I11" s="106"/>
      <c r="J11" s="108"/>
      <c r="K11" s="108">
        <v>1548</v>
      </c>
      <c r="L11" s="109">
        <f t="shared" si="0"/>
        <v>154845</v>
      </c>
    </row>
    <row r="12" spans="1:12" s="124" customFormat="1" ht="15.75" customHeight="1" thickBot="1">
      <c r="A12" s="243" t="s">
        <v>375</v>
      </c>
      <c r="B12" s="123">
        <v>6564</v>
      </c>
      <c r="C12" s="123">
        <v>1584</v>
      </c>
      <c r="D12" s="123">
        <v>6084</v>
      </c>
      <c r="E12" s="123"/>
      <c r="F12" s="123"/>
      <c r="G12" s="123"/>
      <c r="H12" s="123">
        <v>6599</v>
      </c>
      <c r="I12" s="123"/>
      <c r="J12" s="122"/>
      <c r="K12" s="122">
        <v>-171</v>
      </c>
      <c r="L12" s="244">
        <f t="shared" si="0"/>
        <v>20660</v>
      </c>
    </row>
    <row r="13" spans="1:12" s="124" customFormat="1" ht="15.75" customHeight="1" thickBot="1">
      <c r="A13" s="87" t="s">
        <v>45</v>
      </c>
      <c r="B13" s="110">
        <f>SUM(B7:B12)</f>
        <v>243411</v>
      </c>
      <c r="C13" s="110">
        <f aca="true" t="shared" si="1" ref="C13:L13">SUM(C7:C12)</f>
        <v>59735</v>
      </c>
      <c r="D13" s="110">
        <f t="shared" si="1"/>
        <v>132949</v>
      </c>
      <c r="E13" s="110">
        <f t="shared" si="1"/>
        <v>494</v>
      </c>
      <c r="F13" s="110">
        <f t="shared" si="1"/>
        <v>2053</v>
      </c>
      <c r="G13" s="110">
        <f t="shared" si="1"/>
        <v>0</v>
      </c>
      <c r="H13" s="110">
        <f t="shared" si="1"/>
        <v>6599</v>
      </c>
      <c r="I13" s="110">
        <f t="shared" si="1"/>
        <v>0</v>
      </c>
      <c r="J13" s="110">
        <f t="shared" si="1"/>
        <v>0</v>
      </c>
      <c r="K13" s="110">
        <f t="shared" si="1"/>
        <v>1015</v>
      </c>
      <c r="L13" s="111">
        <f t="shared" si="1"/>
        <v>446256</v>
      </c>
    </row>
    <row r="14" spans="1:12" s="124" customFormat="1" ht="15.75" customHeight="1">
      <c r="A14" s="245" t="s">
        <v>14</v>
      </c>
      <c r="B14" s="240">
        <v>116048</v>
      </c>
      <c r="C14" s="239">
        <v>27507</v>
      </c>
      <c r="D14" s="239">
        <v>53116</v>
      </c>
      <c r="E14" s="239">
        <v>137049</v>
      </c>
      <c r="F14" s="239"/>
      <c r="G14" s="239"/>
      <c r="H14" s="239"/>
      <c r="I14" s="239"/>
      <c r="J14" s="239"/>
      <c r="K14" s="239">
        <v>-13715</v>
      </c>
      <c r="L14" s="241">
        <f>SUM(B14:K14)</f>
        <v>320005</v>
      </c>
    </row>
    <row r="15" spans="1:12" s="124" customFormat="1" ht="15.75" customHeight="1" thickBot="1">
      <c r="A15" s="246" t="s">
        <v>326</v>
      </c>
      <c r="B15" s="123">
        <v>114044</v>
      </c>
      <c r="C15" s="122">
        <v>20886</v>
      </c>
      <c r="D15" s="122">
        <v>411302</v>
      </c>
      <c r="E15" s="122">
        <v>5928</v>
      </c>
      <c r="F15" s="122">
        <v>181329</v>
      </c>
      <c r="G15" s="122">
        <v>91701</v>
      </c>
      <c r="H15" s="122">
        <f>523751-91701</f>
        <v>432050</v>
      </c>
      <c r="I15" s="122">
        <v>635204</v>
      </c>
      <c r="J15" s="122">
        <v>1592341</v>
      </c>
      <c r="K15" s="122">
        <v>-77263</v>
      </c>
      <c r="L15" s="244">
        <f>SUM(B15:K15)</f>
        <v>3407522</v>
      </c>
    </row>
    <row r="16" spans="1:12" s="124" customFormat="1" ht="15.75" customHeight="1" thickBot="1">
      <c r="A16" s="102" t="s">
        <v>45</v>
      </c>
      <c r="B16" s="110">
        <f>SUM(B14:B15)</f>
        <v>230092</v>
      </c>
      <c r="C16" s="110">
        <f aca="true" t="shared" si="2" ref="C16:I16">SUM(C14:C15)</f>
        <v>48393</v>
      </c>
      <c r="D16" s="110">
        <f t="shared" si="2"/>
        <v>464418</v>
      </c>
      <c r="E16" s="110">
        <f t="shared" si="2"/>
        <v>142977</v>
      </c>
      <c r="F16" s="110">
        <f t="shared" si="2"/>
        <v>181329</v>
      </c>
      <c r="G16" s="110">
        <f t="shared" si="2"/>
        <v>91701</v>
      </c>
      <c r="H16" s="110">
        <f t="shared" si="2"/>
        <v>432050</v>
      </c>
      <c r="I16" s="110">
        <f t="shared" si="2"/>
        <v>635204</v>
      </c>
      <c r="J16" s="110">
        <f>SUM(J14:J15)</f>
        <v>1592341</v>
      </c>
      <c r="K16" s="110">
        <f>SUM(K14:K15)</f>
        <v>-90978</v>
      </c>
      <c r="L16" s="111">
        <f>SUM(L14:L15)</f>
        <v>3727527</v>
      </c>
    </row>
    <row r="17" spans="1:12" s="124" customFormat="1" ht="15.75" customHeight="1" thickBot="1">
      <c r="A17" s="25" t="s">
        <v>81</v>
      </c>
      <c r="B17" s="205">
        <f>B13+B16</f>
        <v>473503</v>
      </c>
      <c r="C17" s="205">
        <f aca="true" t="shared" si="3" ref="C17:L17">C13+C16</f>
        <v>108128</v>
      </c>
      <c r="D17" s="205">
        <f t="shared" si="3"/>
        <v>597367</v>
      </c>
      <c r="E17" s="205">
        <f t="shared" si="3"/>
        <v>143471</v>
      </c>
      <c r="F17" s="205">
        <f t="shared" si="3"/>
        <v>183382</v>
      </c>
      <c r="G17" s="205">
        <f t="shared" si="3"/>
        <v>91701</v>
      </c>
      <c r="H17" s="205">
        <f t="shared" si="3"/>
        <v>438649</v>
      </c>
      <c r="I17" s="205">
        <f t="shared" si="3"/>
        <v>635204</v>
      </c>
      <c r="J17" s="205">
        <f t="shared" si="3"/>
        <v>1592341</v>
      </c>
      <c r="K17" s="205">
        <f t="shared" si="3"/>
        <v>-89963</v>
      </c>
      <c r="L17" s="105">
        <f t="shared" si="3"/>
        <v>4173783</v>
      </c>
    </row>
    <row r="18" s="124" customFormat="1" ht="12.75"/>
    <row r="19" ht="12.75">
      <c r="L19" s="229"/>
    </row>
  </sheetData>
  <mergeCells count="1">
    <mergeCell ref="K5:L5"/>
  </mergeCells>
  <printOptions horizontalCentered="1"/>
  <pageMargins left="0.18" right="0.18" top="0.984251968503937" bottom="0.3937007874015748" header="0.5118110236220472" footer="0.5118110236220472"/>
  <pageSetup horizontalDpi="600" verticalDpi="600" orientation="landscape" paperSize="9" r:id="rId1"/>
  <headerFooter alignWithMargins="0">
    <oddHeader>&amp;L&amp;9 8. melléklet a .../...(....) önkormányzati határozathoz&amp;C
&amp;"Arial CE,Félkövér"&amp;11Önállóan működő és gazdálkodó költségvetési szervek 2013. I. félévi kiadásai&amp;R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26"/>
  <sheetViews>
    <sheetView workbookViewId="0" topLeftCell="A1">
      <selection activeCell="N22" sqref="N22"/>
    </sheetView>
  </sheetViews>
  <sheetFormatPr defaultColWidth="9.00390625" defaultRowHeight="12.75"/>
  <cols>
    <col min="1" max="1" width="3.75390625" style="0" customWidth="1"/>
    <col min="2" max="2" width="14.75390625" style="0" customWidth="1"/>
    <col min="3" max="3" width="7.25390625" style="0" customWidth="1"/>
    <col min="4" max="6" width="8.00390625" style="162" bestFit="1" customWidth="1"/>
    <col min="7" max="9" width="7.00390625" style="162" bestFit="1" customWidth="1"/>
    <col min="10" max="10" width="6.125" style="162" customWidth="1"/>
    <col min="11" max="13" width="8.125" style="162" customWidth="1"/>
    <col min="14" max="14" width="8.125" style="162" bestFit="1" customWidth="1"/>
    <col min="15" max="17" width="8.125" style="162" customWidth="1"/>
    <col min="18" max="18" width="9.125" style="162" customWidth="1"/>
  </cols>
  <sheetData>
    <row r="1" spans="1:18" ht="43.5" customHeight="1" thickBot="1">
      <c r="A1" s="220"/>
      <c r="B1" s="117" t="s">
        <v>298</v>
      </c>
      <c r="C1" s="187" t="s">
        <v>352</v>
      </c>
      <c r="D1" s="588" t="s">
        <v>49</v>
      </c>
      <c r="E1" s="589"/>
      <c r="F1" s="590"/>
      <c r="G1" s="588" t="s">
        <v>46</v>
      </c>
      <c r="H1" s="589"/>
      <c r="I1" s="590"/>
      <c r="J1" s="588" t="s">
        <v>296</v>
      </c>
      <c r="K1" s="589"/>
      <c r="L1" s="590"/>
      <c r="M1" s="588" t="s">
        <v>95</v>
      </c>
      <c r="N1" s="589"/>
      <c r="O1" s="590"/>
      <c r="P1" s="588" t="s">
        <v>45</v>
      </c>
      <c r="Q1" s="589"/>
      <c r="R1" s="590"/>
    </row>
    <row r="2" spans="1:18" ht="24" customHeight="1" thickBot="1">
      <c r="A2" s="221"/>
      <c r="B2" s="83"/>
      <c r="C2" s="69"/>
      <c r="D2" s="184" t="s">
        <v>353</v>
      </c>
      <c r="E2" s="185" t="s">
        <v>354</v>
      </c>
      <c r="F2" s="186" t="s">
        <v>355</v>
      </c>
      <c r="G2" s="184" t="s">
        <v>353</v>
      </c>
      <c r="H2" s="185" t="s">
        <v>354</v>
      </c>
      <c r="I2" s="186" t="s">
        <v>355</v>
      </c>
      <c r="J2" s="184" t="s">
        <v>353</v>
      </c>
      <c r="K2" s="185" t="s">
        <v>354</v>
      </c>
      <c r="L2" s="186" t="s">
        <v>355</v>
      </c>
      <c r="M2" s="117" t="s">
        <v>353</v>
      </c>
      <c r="N2" s="119" t="s">
        <v>354</v>
      </c>
      <c r="O2" s="200" t="s">
        <v>355</v>
      </c>
      <c r="P2" s="184" t="s">
        <v>353</v>
      </c>
      <c r="Q2" s="185" t="s">
        <v>354</v>
      </c>
      <c r="R2" s="186" t="s">
        <v>355</v>
      </c>
    </row>
    <row r="3" spans="1:18" ht="18" customHeight="1">
      <c r="A3" s="222" t="s">
        <v>2</v>
      </c>
      <c r="B3" s="150" t="s">
        <v>361</v>
      </c>
      <c r="C3" s="167" t="s">
        <v>299</v>
      </c>
      <c r="D3" s="166">
        <v>106676</v>
      </c>
      <c r="E3" s="171">
        <v>522</v>
      </c>
      <c r="F3" s="176">
        <f>SUM(D3:E3)</f>
        <v>107198</v>
      </c>
      <c r="G3" s="182">
        <v>25681</v>
      </c>
      <c r="H3" s="183">
        <v>141</v>
      </c>
      <c r="I3" s="179">
        <f>SUM(G3:H3)</f>
        <v>25822</v>
      </c>
      <c r="J3" s="169"/>
      <c r="K3" s="171"/>
      <c r="L3" s="196">
        <f>SUM(J3:K3)</f>
        <v>0</v>
      </c>
      <c r="M3" s="190">
        <v>38386</v>
      </c>
      <c r="N3" s="191"/>
      <c r="O3" s="192">
        <f>SUM(M3:N3)</f>
        <v>38386</v>
      </c>
      <c r="P3" s="198">
        <f>D3+G3+J3+M3</f>
        <v>170743</v>
      </c>
      <c r="Q3" s="191">
        <f>E3+H3+K3+N3</f>
        <v>663</v>
      </c>
      <c r="R3" s="192">
        <f>SUM(P3:Q3)</f>
        <v>171406</v>
      </c>
    </row>
    <row r="4" spans="1:18" ht="18" customHeight="1">
      <c r="A4" s="222" t="s">
        <v>3</v>
      </c>
      <c r="B4" s="151" t="s">
        <v>362</v>
      </c>
      <c r="C4" s="154" t="s">
        <v>300</v>
      </c>
      <c r="D4" s="163">
        <v>2518</v>
      </c>
      <c r="E4" s="159">
        <v>5505</v>
      </c>
      <c r="F4" s="174">
        <f aca="true" t="shared" si="0" ref="F4:F21">SUM(D4:E4)</f>
        <v>8023</v>
      </c>
      <c r="G4" s="158">
        <v>612</v>
      </c>
      <c r="H4" s="159">
        <v>1223</v>
      </c>
      <c r="I4" s="177">
        <f aca="true" t="shared" si="1" ref="I4:I21">SUM(G4:H4)</f>
        <v>1835</v>
      </c>
      <c r="J4" s="158"/>
      <c r="K4" s="159"/>
      <c r="L4" s="180">
        <f aca="true" t="shared" si="2" ref="L4:L21">SUM(J4:K4)</f>
        <v>0</v>
      </c>
      <c r="M4" s="158">
        <v>2070</v>
      </c>
      <c r="N4" s="159"/>
      <c r="O4" s="174">
        <f aca="true" t="shared" si="3" ref="O4:O21">SUM(M4:N4)</f>
        <v>2070</v>
      </c>
      <c r="P4" s="163">
        <f aca="true" t="shared" si="4" ref="P4:P21">D4+G4+J4+M4</f>
        <v>5200</v>
      </c>
      <c r="Q4" s="159">
        <f aca="true" t="shared" si="5" ref="Q4:Q21">E4+H4+K4+N4</f>
        <v>6728</v>
      </c>
      <c r="R4" s="174">
        <f aca="true" t="shared" si="6" ref="R4:R21">SUM(P4:Q4)</f>
        <v>11928</v>
      </c>
    </row>
    <row r="5" spans="1:18" ht="18" customHeight="1">
      <c r="A5" s="222" t="s">
        <v>4</v>
      </c>
      <c r="B5" s="151" t="s">
        <v>363</v>
      </c>
      <c r="C5" s="154">
        <v>841403</v>
      </c>
      <c r="D5" s="163">
        <v>3</v>
      </c>
      <c r="E5" s="159">
        <v>29543</v>
      </c>
      <c r="F5" s="174">
        <f t="shared" si="0"/>
        <v>29546</v>
      </c>
      <c r="G5" s="158">
        <v>1</v>
      </c>
      <c r="H5" s="159">
        <v>7053</v>
      </c>
      <c r="I5" s="177">
        <f t="shared" si="1"/>
        <v>7054</v>
      </c>
      <c r="J5" s="158"/>
      <c r="K5" s="159">
        <v>145938</v>
      </c>
      <c r="L5" s="180">
        <f t="shared" si="2"/>
        <v>145938</v>
      </c>
      <c r="M5" s="158"/>
      <c r="N5" s="159">
        <v>310726</v>
      </c>
      <c r="O5" s="174">
        <f t="shared" si="3"/>
        <v>310726</v>
      </c>
      <c r="P5" s="163">
        <f t="shared" si="4"/>
        <v>4</v>
      </c>
      <c r="Q5" s="159">
        <f t="shared" si="5"/>
        <v>493260</v>
      </c>
      <c r="R5" s="174">
        <f t="shared" si="6"/>
        <v>493264</v>
      </c>
    </row>
    <row r="6" spans="1:19" ht="18" customHeight="1">
      <c r="A6" s="584" t="s">
        <v>5</v>
      </c>
      <c r="B6" s="586" t="s">
        <v>356</v>
      </c>
      <c r="C6" s="155" t="s">
        <v>413</v>
      </c>
      <c r="D6" s="164"/>
      <c r="E6" s="161"/>
      <c r="F6" s="174">
        <f t="shared" si="0"/>
        <v>0</v>
      </c>
      <c r="G6" s="160"/>
      <c r="H6" s="161"/>
      <c r="I6" s="177">
        <f t="shared" si="1"/>
        <v>0</v>
      </c>
      <c r="J6" s="160"/>
      <c r="K6" s="161"/>
      <c r="L6" s="180">
        <f t="shared" si="2"/>
        <v>0</v>
      </c>
      <c r="M6" s="160"/>
      <c r="N6" s="201">
        <v>6115</v>
      </c>
      <c r="O6" s="174">
        <f t="shared" si="3"/>
        <v>6115</v>
      </c>
      <c r="P6" s="163">
        <f t="shared" si="4"/>
        <v>0</v>
      </c>
      <c r="Q6" s="159">
        <f t="shared" si="5"/>
        <v>6115</v>
      </c>
      <c r="R6" s="174">
        <f t="shared" si="6"/>
        <v>6115</v>
      </c>
      <c r="S6" s="189"/>
    </row>
    <row r="7" spans="1:19" ht="18" customHeight="1">
      <c r="A7" s="585"/>
      <c r="B7" s="587"/>
      <c r="C7" s="155" t="s">
        <v>414</v>
      </c>
      <c r="D7" s="164"/>
      <c r="E7" s="161"/>
      <c r="F7" s="174"/>
      <c r="G7" s="160"/>
      <c r="H7" s="161"/>
      <c r="I7" s="177"/>
      <c r="J7" s="160"/>
      <c r="K7" s="161"/>
      <c r="L7" s="180"/>
      <c r="M7" s="160"/>
      <c r="N7" s="201">
        <v>170</v>
      </c>
      <c r="O7" s="174">
        <f t="shared" si="3"/>
        <v>170</v>
      </c>
      <c r="P7" s="163">
        <f t="shared" si="4"/>
        <v>0</v>
      </c>
      <c r="Q7" s="159">
        <f t="shared" si="5"/>
        <v>170</v>
      </c>
      <c r="R7" s="174">
        <f t="shared" si="6"/>
        <v>170</v>
      </c>
      <c r="S7" s="189"/>
    </row>
    <row r="8" spans="1:18" ht="18" customHeight="1">
      <c r="A8" s="222" t="s">
        <v>6</v>
      </c>
      <c r="B8" s="151" t="s">
        <v>369</v>
      </c>
      <c r="C8" s="156">
        <v>890443</v>
      </c>
      <c r="D8" s="163"/>
      <c r="E8" s="159"/>
      <c r="F8" s="174">
        <f t="shared" si="0"/>
        <v>0</v>
      </c>
      <c r="G8" s="158"/>
      <c r="H8" s="159"/>
      <c r="I8" s="177">
        <f t="shared" si="1"/>
        <v>0</v>
      </c>
      <c r="J8" s="158"/>
      <c r="K8" s="159"/>
      <c r="L8" s="180">
        <f t="shared" si="2"/>
        <v>0</v>
      </c>
      <c r="M8" s="158"/>
      <c r="N8" s="159"/>
      <c r="O8" s="174">
        <f t="shared" si="3"/>
        <v>0</v>
      </c>
      <c r="P8" s="163">
        <f t="shared" si="4"/>
        <v>0</v>
      </c>
      <c r="Q8" s="159">
        <f t="shared" si="5"/>
        <v>0</v>
      </c>
      <c r="R8" s="174">
        <f t="shared" si="6"/>
        <v>0</v>
      </c>
    </row>
    <row r="9" spans="1:18" ht="18" customHeight="1">
      <c r="A9" s="222" t="s">
        <v>7</v>
      </c>
      <c r="B9" s="151" t="s">
        <v>370</v>
      </c>
      <c r="C9" s="156" t="s">
        <v>301</v>
      </c>
      <c r="D9" s="163">
        <v>6851</v>
      </c>
      <c r="E9" s="159">
        <v>63638</v>
      </c>
      <c r="F9" s="174">
        <f t="shared" si="0"/>
        <v>70489</v>
      </c>
      <c r="G9" s="158">
        <v>1213</v>
      </c>
      <c r="H9" s="159">
        <v>8610</v>
      </c>
      <c r="I9" s="177">
        <f t="shared" si="1"/>
        <v>9823</v>
      </c>
      <c r="J9" s="158"/>
      <c r="K9" s="159"/>
      <c r="L9" s="180">
        <f t="shared" si="2"/>
        <v>0</v>
      </c>
      <c r="M9" s="158"/>
      <c r="N9" s="159">
        <v>29752</v>
      </c>
      <c r="O9" s="174">
        <f t="shared" si="3"/>
        <v>29752</v>
      </c>
      <c r="P9" s="163">
        <f t="shared" si="4"/>
        <v>8064</v>
      </c>
      <c r="Q9" s="159">
        <f t="shared" si="5"/>
        <v>102000</v>
      </c>
      <c r="R9" s="174">
        <f t="shared" si="6"/>
        <v>110064</v>
      </c>
    </row>
    <row r="10" spans="1:18" ht="18" customHeight="1">
      <c r="A10" s="222" t="s">
        <v>9</v>
      </c>
      <c r="B10" s="151" t="s">
        <v>371</v>
      </c>
      <c r="C10" s="156" t="s">
        <v>302</v>
      </c>
      <c r="D10" s="163"/>
      <c r="E10" s="159"/>
      <c r="F10" s="174">
        <f t="shared" si="0"/>
        <v>0</v>
      </c>
      <c r="G10" s="158"/>
      <c r="H10" s="159"/>
      <c r="I10" s="177">
        <f t="shared" si="1"/>
        <v>0</v>
      </c>
      <c r="J10" s="158"/>
      <c r="K10" s="159"/>
      <c r="L10" s="180">
        <f t="shared" si="2"/>
        <v>0</v>
      </c>
      <c r="M10" s="158"/>
      <c r="N10" s="159"/>
      <c r="O10" s="174">
        <f t="shared" si="3"/>
        <v>0</v>
      </c>
      <c r="P10" s="163">
        <f t="shared" si="4"/>
        <v>0</v>
      </c>
      <c r="Q10" s="159">
        <f t="shared" si="5"/>
        <v>0</v>
      </c>
      <c r="R10" s="174">
        <f t="shared" si="6"/>
        <v>0</v>
      </c>
    </row>
    <row r="11" spans="1:18" ht="18" customHeight="1">
      <c r="A11" s="222" t="s">
        <v>10</v>
      </c>
      <c r="B11" s="151" t="s">
        <v>364</v>
      </c>
      <c r="C11" s="156" t="s">
        <v>303</v>
      </c>
      <c r="D11" s="163"/>
      <c r="E11" s="159"/>
      <c r="F11" s="174">
        <f t="shared" si="0"/>
        <v>0</v>
      </c>
      <c r="G11" s="158"/>
      <c r="H11" s="159"/>
      <c r="I11" s="177">
        <f t="shared" si="1"/>
        <v>0</v>
      </c>
      <c r="J11" s="158"/>
      <c r="K11" s="159">
        <v>33941</v>
      </c>
      <c r="L11" s="180">
        <f t="shared" si="2"/>
        <v>33941</v>
      </c>
      <c r="M11" s="158"/>
      <c r="N11" s="159"/>
      <c r="O11" s="174">
        <f t="shared" si="3"/>
        <v>0</v>
      </c>
      <c r="P11" s="163">
        <f t="shared" si="4"/>
        <v>0</v>
      </c>
      <c r="Q11" s="159">
        <f t="shared" si="5"/>
        <v>33941</v>
      </c>
      <c r="R11" s="174">
        <f t="shared" si="6"/>
        <v>33941</v>
      </c>
    </row>
    <row r="12" spans="1:18" ht="18" customHeight="1">
      <c r="A12" s="222" t="s">
        <v>11</v>
      </c>
      <c r="B12" s="151" t="s">
        <v>365</v>
      </c>
      <c r="C12" s="156" t="s">
        <v>304</v>
      </c>
      <c r="D12" s="163"/>
      <c r="E12" s="159"/>
      <c r="F12" s="174">
        <f t="shared" si="0"/>
        <v>0</v>
      </c>
      <c r="G12" s="158"/>
      <c r="H12" s="159"/>
      <c r="I12" s="177">
        <f t="shared" si="1"/>
        <v>0</v>
      </c>
      <c r="J12" s="158"/>
      <c r="K12" s="159"/>
      <c r="L12" s="180">
        <f t="shared" si="2"/>
        <v>0</v>
      </c>
      <c r="M12" s="158"/>
      <c r="N12" s="159"/>
      <c r="O12" s="174">
        <f t="shared" si="3"/>
        <v>0</v>
      </c>
      <c r="P12" s="163">
        <f t="shared" si="4"/>
        <v>0</v>
      </c>
      <c r="Q12" s="159">
        <f t="shared" si="5"/>
        <v>0</v>
      </c>
      <c r="R12" s="174">
        <f t="shared" si="6"/>
        <v>0</v>
      </c>
    </row>
    <row r="13" spans="1:18" ht="18" customHeight="1">
      <c r="A13" s="222" t="s">
        <v>13</v>
      </c>
      <c r="B13" s="151" t="s">
        <v>357</v>
      </c>
      <c r="C13" s="156" t="s">
        <v>305</v>
      </c>
      <c r="D13" s="163"/>
      <c r="E13" s="159"/>
      <c r="F13" s="174">
        <f t="shared" si="0"/>
        <v>0</v>
      </c>
      <c r="G13" s="158"/>
      <c r="H13" s="159"/>
      <c r="I13" s="177">
        <f t="shared" si="1"/>
        <v>0</v>
      </c>
      <c r="J13" s="158"/>
      <c r="K13" s="159"/>
      <c r="L13" s="180">
        <f t="shared" si="2"/>
        <v>0</v>
      </c>
      <c r="M13" s="158"/>
      <c r="N13" s="159"/>
      <c r="O13" s="174">
        <f t="shared" si="3"/>
        <v>0</v>
      </c>
      <c r="P13" s="163">
        <f t="shared" si="4"/>
        <v>0</v>
      </c>
      <c r="Q13" s="159">
        <f t="shared" si="5"/>
        <v>0</v>
      </c>
      <c r="R13" s="174">
        <f t="shared" si="6"/>
        <v>0</v>
      </c>
    </row>
    <row r="14" spans="1:18" ht="18" customHeight="1">
      <c r="A14" s="222" t="s">
        <v>71</v>
      </c>
      <c r="B14" s="151" t="s">
        <v>358</v>
      </c>
      <c r="C14" s="156" t="s">
        <v>306</v>
      </c>
      <c r="D14" s="163"/>
      <c r="E14" s="159"/>
      <c r="F14" s="174">
        <f t="shared" si="0"/>
        <v>0</v>
      </c>
      <c r="G14" s="158"/>
      <c r="H14" s="159"/>
      <c r="I14" s="177">
        <f t="shared" si="1"/>
        <v>0</v>
      </c>
      <c r="J14" s="158"/>
      <c r="K14" s="159"/>
      <c r="L14" s="180">
        <f t="shared" si="2"/>
        <v>0</v>
      </c>
      <c r="M14" s="158"/>
      <c r="N14" s="159">
        <v>105</v>
      </c>
      <c r="O14" s="174">
        <f t="shared" si="3"/>
        <v>105</v>
      </c>
      <c r="P14" s="163">
        <f t="shared" si="4"/>
        <v>0</v>
      </c>
      <c r="Q14" s="159">
        <f t="shared" si="5"/>
        <v>105</v>
      </c>
      <c r="R14" s="174">
        <f t="shared" si="6"/>
        <v>105</v>
      </c>
    </row>
    <row r="15" spans="1:18" ht="18" customHeight="1">
      <c r="A15" s="222" t="s">
        <v>72</v>
      </c>
      <c r="B15" s="151" t="s">
        <v>366</v>
      </c>
      <c r="C15" s="156" t="s">
        <v>307</v>
      </c>
      <c r="D15" s="163"/>
      <c r="E15" s="159"/>
      <c r="F15" s="174">
        <f t="shared" si="0"/>
        <v>0</v>
      </c>
      <c r="G15" s="158"/>
      <c r="H15" s="159"/>
      <c r="I15" s="177">
        <f t="shared" si="1"/>
        <v>0</v>
      </c>
      <c r="J15" s="158"/>
      <c r="K15" s="159">
        <v>300</v>
      </c>
      <c r="L15" s="180">
        <f t="shared" si="2"/>
        <v>300</v>
      </c>
      <c r="M15" s="158"/>
      <c r="N15" s="159"/>
      <c r="O15" s="174">
        <f t="shared" si="3"/>
        <v>0</v>
      </c>
      <c r="P15" s="163">
        <f t="shared" si="4"/>
        <v>0</v>
      </c>
      <c r="Q15" s="159">
        <f t="shared" si="5"/>
        <v>300</v>
      </c>
      <c r="R15" s="174">
        <f t="shared" si="6"/>
        <v>300</v>
      </c>
    </row>
    <row r="16" spans="1:18" ht="18" customHeight="1">
      <c r="A16" s="222" t="s">
        <v>73</v>
      </c>
      <c r="B16" s="151" t="s">
        <v>367</v>
      </c>
      <c r="C16" s="156" t="s">
        <v>309</v>
      </c>
      <c r="D16" s="163"/>
      <c r="E16" s="159"/>
      <c r="F16" s="174">
        <f t="shared" si="0"/>
        <v>0</v>
      </c>
      <c r="G16" s="158"/>
      <c r="H16" s="159"/>
      <c r="I16" s="177">
        <f t="shared" si="1"/>
        <v>0</v>
      </c>
      <c r="J16" s="158"/>
      <c r="K16" s="159">
        <v>200</v>
      </c>
      <c r="L16" s="180">
        <f t="shared" si="2"/>
        <v>200</v>
      </c>
      <c r="M16" s="158"/>
      <c r="N16" s="159"/>
      <c r="O16" s="174">
        <f t="shared" si="3"/>
        <v>0</v>
      </c>
      <c r="P16" s="163">
        <f t="shared" si="4"/>
        <v>0</v>
      </c>
      <c r="Q16" s="159">
        <f t="shared" si="5"/>
        <v>200</v>
      </c>
      <c r="R16" s="174">
        <f t="shared" si="6"/>
        <v>200</v>
      </c>
    </row>
    <row r="17" spans="1:18" ht="18" customHeight="1">
      <c r="A17" s="222" t="s">
        <v>74</v>
      </c>
      <c r="B17" s="151" t="s">
        <v>368</v>
      </c>
      <c r="C17" s="156" t="s">
        <v>310</v>
      </c>
      <c r="D17" s="163"/>
      <c r="E17" s="159"/>
      <c r="F17" s="174">
        <f t="shared" si="0"/>
        <v>0</v>
      </c>
      <c r="G17" s="158"/>
      <c r="H17" s="159"/>
      <c r="I17" s="177">
        <f t="shared" si="1"/>
        <v>0</v>
      </c>
      <c r="J17" s="158"/>
      <c r="K17" s="159">
        <v>950</v>
      </c>
      <c r="L17" s="180">
        <f t="shared" si="2"/>
        <v>950</v>
      </c>
      <c r="M17" s="158"/>
      <c r="N17" s="159"/>
      <c r="O17" s="174">
        <f t="shared" si="3"/>
        <v>0</v>
      </c>
      <c r="P17" s="163">
        <f t="shared" si="4"/>
        <v>0</v>
      </c>
      <c r="Q17" s="159">
        <f t="shared" si="5"/>
        <v>950</v>
      </c>
      <c r="R17" s="174">
        <f>SUM(P17:Q17)</f>
        <v>950</v>
      </c>
    </row>
    <row r="18" spans="1:18" ht="18" customHeight="1">
      <c r="A18" s="222">
        <v>15</v>
      </c>
      <c r="B18" s="151" t="s">
        <v>411</v>
      </c>
      <c r="C18" s="156" t="s">
        <v>412</v>
      </c>
      <c r="D18" s="163"/>
      <c r="E18" s="159">
        <v>2372</v>
      </c>
      <c r="F18" s="174">
        <f t="shared" si="0"/>
        <v>2372</v>
      </c>
      <c r="G18" s="158"/>
      <c r="H18" s="159">
        <v>611</v>
      </c>
      <c r="I18" s="177">
        <f t="shared" si="1"/>
        <v>611</v>
      </c>
      <c r="J18" s="158"/>
      <c r="K18" s="159"/>
      <c r="L18" s="180">
        <f t="shared" si="2"/>
        <v>0</v>
      </c>
      <c r="M18" s="158">
        <v>1072</v>
      </c>
      <c r="N18" s="159">
        <v>1892</v>
      </c>
      <c r="O18" s="174">
        <f t="shared" si="3"/>
        <v>2964</v>
      </c>
      <c r="P18" s="163">
        <f t="shared" si="4"/>
        <v>1072</v>
      </c>
      <c r="Q18" s="159">
        <f t="shared" si="5"/>
        <v>4875</v>
      </c>
      <c r="R18" s="174">
        <f t="shared" si="6"/>
        <v>5947</v>
      </c>
    </row>
    <row r="19" spans="1:18" ht="18" customHeight="1">
      <c r="A19" s="222">
        <v>16</v>
      </c>
      <c r="B19" s="151" t="s">
        <v>415</v>
      </c>
      <c r="C19" s="156" t="s">
        <v>416</v>
      </c>
      <c r="D19" s="163"/>
      <c r="E19" s="159">
        <v>2727</v>
      </c>
      <c r="F19" s="174">
        <f t="shared" si="0"/>
        <v>2727</v>
      </c>
      <c r="G19" s="158"/>
      <c r="H19" s="159">
        <v>693</v>
      </c>
      <c r="I19" s="177">
        <f t="shared" si="1"/>
        <v>693</v>
      </c>
      <c r="J19" s="158"/>
      <c r="K19" s="159"/>
      <c r="L19" s="180">
        <f t="shared" si="2"/>
        <v>0</v>
      </c>
      <c r="M19" s="158">
        <v>11588</v>
      </c>
      <c r="N19" s="159"/>
      <c r="O19" s="174">
        <f t="shared" si="3"/>
        <v>11588</v>
      </c>
      <c r="P19" s="163">
        <f t="shared" si="4"/>
        <v>11588</v>
      </c>
      <c r="Q19" s="159">
        <f t="shared" si="5"/>
        <v>3420</v>
      </c>
      <c r="R19" s="174">
        <f t="shared" si="6"/>
        <v>15008</v>
      </c>
    </row>
    <row r="20" spans="1:18" ht="18" customHeight="1">
      <c r="A20" s="222">
        <v>17</v>
      </c>
      <c r="B20" s="151" t="s">
        <v>359</v>
      </c>
      <c r="C20" s="157"/>
      <c r="D20" s="163"/>
      <c r="E20" s="159">
        <v>9737</v>
      </c>
      <c r="F20" s="174">
        <f t="shared" si="0"/>
        <v>9737</v>
      </c>
      <c r="G20" s="158"/>
      <c r="H20" s="159">
        <v>2555</v>
      </c>
      <c r="I20" s="177">
        <f t="shared" si="1"/>
        <v>2555</v>
      </c>
      <c r="J20" s="158"/>
      <c r="K20" s="159"/>
      <c r="L20" s="180">
        <f t="shared" si="2"/>
        <v>0</v>
      </c>
      <c r="M20" s="158"/>
      <c r="N20" s="159">
        <v>62568</v>
      </c>
      <c r="O20" s="174">
        <f t="shared" si="3"/>
        <v>62568</v>
      </c>
      <c r="P20" s="163">
        <f t="shared" si="4"/>
        <v>0</v>
      </c>
      <c r="Q20" s="159">
        <f t="shared" si="5"/>
        <v>74860</v>
      </c>
      <c r="R20" s="174">
        <f t="shared" si="6"/>
        <v>74860</v>
      </c>
    </row>
    <row r="21" spans="1:18" ht="18" customHeight="1" thickBot="1">
      <c r="A21" s="222">
        <v>18</v>
      </c>
      <c r="B21" s="153" t="s">
        <v>360</v>
      </c>
      <c r="C21" s="181"/>
      <c r="D21" s="165"/>
      <c r="E21" s="170"/>
      <c r="F21" s="175">
        <f t="shared" si="0"/>
        <v>0</v>
      </c>
      <c r="G21" s="168"/>
      <c r="H21" s="170"/>
      <c r="I21" s="178">
        <f t="shared" si="1"/>
        <v>0</v>
      </c>
      <c r="J21" s="168"/>
      <c r="K21" s="170"/>
      <c r="L21" s="197">
        <f t="shared" si="2"/>
        <v>0</v>
      </c>
      <c r="M21" s="193">
        <v>137049</v>
      </c>
      <c r="N21" s="194">
        <v>5902</v>
      </c>
      <c r="O21" s="195">
        <f t="shared" si="3"/>
        <v>142951</v>
      </c>
      <c r="P21" s="199">
        <f t="shared" si="4"/>
        <v>137049</v>
      </c>
      <c r="Q21" s="194">
        <f t="shared" si="5"/>
        <v>5902</v>
      </c>
      <c r="R21" s="195">
        <f t="shared" si="6"/>
        <v>142951</v>
      </c>
    </row>
    <row r="22" spans="1:18" ht="19.5" customHeight="1" thickBot="1">
      <c r="A22" s="223">
        <v>19</v>
      </c>
      <c r="B22" s="152" t="s">
        <v>45</v>
      </c>
      <c r="C22" s="68"/>
      <c r="D22" s="188">
        <f>SUM(D3:D21)</f>
        <v>116048</v>
      </c>
      <c r="E22" s="172">
        <f aca="true" t="shared" si="7" ref="E22:Q22">SUM(E3:E21)</f>
        <v>114044</v>
      </c>
      <c r="F22" s="173">
        <f>SUM(F3:F21)</f>
        <v>230092</v>
      </c>
      <c r="G22" s="188">
        <f t="shared" si="7"/>
        <v>27507</v>
      </c>
      <c r="H22" s="172">
        <f t="shared" si="7"/>
        <v>20886</v>
      </c>
      <c r="I22" s="173">
        <f>SUM(I3:I21)</f>
        <v>48393</v>
      </c>
      <c r="J22" s="188">
        <f t="shared" si="7"/>
        <v>0</v>
      </c>
      <c r="K22" s="172">
        <f t="shared" si="7"/>
        <v>181329</v>
      </c>
      <c r="L22" s="173">
        <f t="shared" si="7"/>
        <v>181329</v>
      </c>
      <c r="M22" s="188">
        <f t="shared" si="7"/>
        <v>190165</v>
      </c>
      <c r="N22" s="172">
        <f t="shared" si="7"/>
        <v>417230</v>
      </c>
      <c r="O22" s="173">
        <f t="shared" si="7"/>
        <v>607395</v>
      </c>
      <c r="P22" s="188">
        <f t="shared" si="7"/>
        <v>333720</v>
      </c>
      <c r="Q22" s="172">
        <f t="shared" si="7"/>
        <v>733489</v>
      </c>
      <c r="R22" s="173">
        <f>SUM(R3:R21)</f>
        <v>1067209</v>
      </c>
    </row>
    <row r="23" spans="1:18" s="213" customFormat="1" ht="19.5" customHeight="1">
      <c r="A23" s="207"/>
      <c r="B23" s="208"/>
      <c r="C23" s="209"/>
      <c r="D23" s="210"/>
      <c r="E23" s="210"/>
      <c r="F23" s="211"/>
      <c r="G23" s="210"/>
      <c r="H23" s="210"/>
      <c r="I23" s="212"/>
      <c r="J23" s="210"/>
      <c r="K23" s="210"/>
      <c r="L23" s="211"/>
      <c r="M23" s="210"/>
      <c r="N23" s="210"/>
      <c r="O23" s="211"/>
      <c r="P23" s="211"/>
      <c r="Q23" s="211"/>
      <c r="R23" s="211"/>
    </row>
    <row r="24" spans="1:18" s="213" customFormat="1" ht="19.5" customHeight="1">
      <c r="A24" s="207"/>
      <c r="B24" s="214"/>
      <c r="C24" s="215"/>
      <c r="D24" s="211"/>
      <c r="E24" s="211"/>
      <c r="F24" s="211"/>
      <c r="G24" s="211"/>
      <c r="H24" s="211"/>
      <c r="I24" s="212"/>
      <c r="J24" s="211"/>
      <c r="K24" s="211"/>
      <c r="L24" s="211"/>
      <c r="M24" s="211"/>
      <c r="N24" s="211"/>
      <c r="O24" s="211"/>
      <c r="P24" s="211"/>
      <c r="Q24" s="211"/>
      <c r="R24" s="211"/>
    </row>
    <row r="25" spans="1:18" s="213" customFormat="1" ht="19.5" customHeight="1">
      <c r="A25" s="207"/>
      <c r="B25" s="216"/>
      <c r="C25" s="217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</row>
    <row r="26" spans="4:18" s="213" customFormat="1" ht="12.75"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</row>
  </sheetData>
  <mergeCells count="7">
    <mergeCell ref="A6:A7"/>
    <mergeCell ref="B6:B7"/>
    <mergeCell ref="P1:R1"/>
    <mergeCell ref="D1:F1"/>
    <mergeCell ref="G1:I1"/>
    <mergeCell ref="J1:L1"/>
    <mergeCell ref="M1:O1"/>
  </mergeCells>
  <printOptions/>
  <pageMargins left="0.17" right="0.16" top="1.42" bottom="0.28" header="0.37" footer="0.17"/>
  <pageSetup horizontalDpi="300" verticalDpi="300" orientation="landscape" paperSize="9" r:id="rId1"/>
  <headerFooter alignWithMargins="0">
    <oddHeader>&amp;L 9. melléklet a .../......(......) önkormányzati  határozathoz&amp;C&amp;"Arial CE,Félkövér"&amp;11
Az Önkormányzat és a Polgármesteri Hivatal szakfeladatainak 2013. I. félévi teljesített működési kiadása&amp;R
&amp;8adatok ezer forintban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Felhasznalo</cp:lastModifiedBy>
  <cp:lastPrinted>2013-09-09T14:23:47Z</cp:lastPrinted>
  <dcterms:created xsi:type="dcterms:W3CDTF">2010-01-08T11:12:55Z</dcterms:created>
  <dcterms:modified xsi:type="dcterms:W3CDTF">2013-09-09T14:50:32Z</dcterms:modified>
  <cp:category/>
  <cp:version/>
  <cp:contentType/>
  <cp:contentStatus/>
</cp:coreProperties>
</file>