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1.sz.mérleg " sheetId="1" r:id="rId1"/>
    <sheet name="2.sz.mérleg működési" sheetId="2" r:id="rId2"/>
    <sheet name="3.sz.Bev-kiad." sheetId="3" r:id="rId3"/>
  </sheets>
  <definedNames>
    <definedName name="_xlnm.Print_Area" localSheetId="2">'3.sz.Bev-kiad.'!$A$1:$R$32</definedName>
  </definedNames>
  <calcPr fullCalcOnLoad="1"/>
</workbook>
</file>

<file path=xl/sharedStrings.xml><?xml version="1.0" encoding="utf-8"?>
<sst xmlns="http://schemas.openxmlformats.org/spreadsheetml/2006/main" count="397" uniqueCount="312">
  <si>
    <t>1. Bevételek</t>
  </si>
  <si>
    <t>A</t>
  </si>
  <si>
    <t>B</t>
  </si>
  <si>
    <t>C</t>
  </si>
  <si>
    <t>D</t>
  </si>
  <si>
    <t>E</t>
  </si>
  <si>
    <t>F</t>
  </si>
  <si>
    <t xml:space="preserve">Bevételek </t>
  </si>
  <si>
    <t>2011. évi tény</t>
  </si>
  <si>
    <t>2012. évi terv</t>
  </si>
  <si>
    <t>2012. évi IV. módosítás</t>
  </si>
  <si>
    <t>1.</t>
  </si>
  <si>
    <t>I.   Működési bevételek</t>
  </si>
  <si>
    <t>2.</t>
  </si>
  <si>
    <t xml:space="preserve">    1.  Intézményi működési bevételek</t>
  </si>
  <si>
    <t>3.</t>
  </si>
  <si>
    <t xml:space="preserve">        OEP finansz. intézmény működési bevétel</t>
  </si>
  <si>
    <t>4.</t>
  </si>
  <si>
    <t xml:space="preserve">    2. Önkormányzat sajátos működési bevételei</t>
  </si>
  <si>
    <t>5.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</si>
  <si>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</si>
  <si>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</si>
  <si>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</si>
  <si>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</si>
  <si>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</si>
  <si>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</si>
  <si>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</si>
  <si>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</si>
  <si>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</si>
  <si>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</si>
  <si>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 xml:space="preserve">       Egyéb sajátos bevétel</t>
  </si>
  <si>
    <t>11.</t>
  </si>
  <si>
    <t xml:space="preserve">       Bírság, pótlék,egyéb</t>
  </si>
  <si>
    <t>12.</t>
  </si>
  <si>
    <t>13.</t>
  </si>
  <si>
    <t>II. Támogatások</t>
  </si>
  <si>
    <t>14.</t>
  </si>
  <si>
    <t xml:space="preserve">       Normatív hozzájárulás</t>
  </si>
  <si>
    <t>15.</t>
  </si>
  <si>
    <t xml:space="preserve">       Kötött felhasználású normatíva</t>
  </si>
  <si>
    <t>16.</t>
  </si>
  <si>
    <t xml:space="preserve">       Tűzoltóság</t>
  </si>
  <si>
    <t>17.</t>
  </si>
  <si>
    <t xml:space="preserve">       Színház támogatás</t>
  </si>
  <si>
    <t>18.</t>
  </si>
  <si>
    <t xml:space="preserve">       Központosított szociális támogatás</t>
  </si>
  <si>
    <t>19.</t>
  </si>
  <si>
    <t xml:space="preserve">       Központosított </t>
  </si>
  <si>
    <t>20.</t>
  </si>
  <si>
    <t xml:space="preserve">       Fejlesztési célú támogatás</t>
  </si>
  <si>
    <t>21.</t>
  </si>
  <si>
    <t xml:space="preserve">       Egyéb központi támogatás</t>
  </si>
  <si>
    <t>22.</t>
  </si>
  <si>
    <t xml:space="preserve">       ÖNHIKI</t>
  </si>
  <si>
    <t>23.</t>
  </si>
  <si>
    <t>III. Felhalmozási és tőkejellegű bevételek</t>
  </si>
  <si>
    <t>24.</t>
  </si>
  <si>
    <t xml:space="preserve">     1. Tárgyi eszközök, immateriális javak értékesítése</t>
  </si>
  <si>
    <t>25.</t>
  </si>
  <si>
    <t xml:space="preserve">     2. Önkormányzat sajátos tőke jellegű bevétele</t>
  </si>
  <si>
    <t>26.</t>
  </si>
  <si>
    <t xml:space="preserve">     3. Pénzügyi befektetések bevételei</t>
  </si>
  <si>
    <t>27.</t>
  </si>
  <si>
    <t xml:space="preserve">     4. Egyéb felhalmozási célú bevételek</t>
  </si>
  <si>
    <t>28.</t>
  </si>
  <si>
    <t>IV. Támogatás értékű bevétel</t>
  </si>
  <si>
    <t>29.</t>
  </si>
  <si>
    <t xml:space="preserve">     1. Támogatás értékű működési bevétel</t>
  </si>
  <si>
    <t>30.</t>
  </si>
  <si>
    <t>31.</t>
  </si>
  <si>
    <t>32.</t>
  </si>
  <si>
    <t>33.</t>
  </si>
  <si>
    <t>V.  Véglegesen átvett pénzeszköz</t>
  </si>
  <si>
    <t>34.</t>
  </si>
  <si>
    <t xml:space="preserve">    1. Működési célú pénzeszköz államháztartáson kívülről</t>
  </si>
  <si>
    <t>35.</t>
  </si>
  <si>
    <t xml:space="preserve">    2. Felhalmozási pénzeszköz államháztartáson kívülről</t>
  </si>
  <si>
    <t>36.</t>
  </si>
  <si>
    <t>VI. Támogatási kölcsönök visszatérülése</t>
  </si>
  <si>
    <t>37.</t>
  </si>
  <si>
    <t>38.</t>
  </si>
  <si>
    <t>Költségvetési bevételek összesen I+II+III+IV+V+VI</t>
  </si>
  <si>
    <t>39.</t>
  </si>
  <si>
    <t>VII. Pénzforgalom nélküli bevétel</t>
  </si>
  <si>
    <t>40.</t>
  </si>
  <si>
    <t xml:space="preserve">    1.1. Előző évi várható pénzmaradvány igénybevétel működési</t>
  </si>
  <si>
    <t>41.</t>
  </si>
  <si>
    <t xml:space="preserve">    1.2. Előző évi várható pénzmaradvány igénybevétel felhalmozási</t>
  </si>
  <si>
    <t>42.</t>
  </si>
  <si>
    <t xml:space="preserve">    2. Előző évek vállalkozási maradvány igénybevétele</t>
  </si>
  <si>
    <t>43.</t>
  </si>
  <si>
    <t>44.</t>
  </si>
  <si>
    <t>VIII. Értékpapírok értékesítése, kibocsátása</t>
  </si>
  <si>
    <t>45.</t>
  </si>
  <si>
    <t xml:space="preserve">   1. Forgatási célú értékpapírok bevételei</t>
  </si>
  <si>
    <t>46.</t>
  </si>
  <si>
    <t xml:space="preserve">   2. Befektetési célú értékpapírok bevételei</t>
  </si>
  <si>
    <t>47.</t>
  </si>
  <si>
    <t>IX. Kötvények kibocsátásának bevétele</t>
  </si>
  <si>
    <t>48.</t>
  </si>
  <si>
    <t>X. Hitelek</t>
  </si>
  <si>
    <t>49.</t>
  </si>
  <si>
    <t xml:space="preserve">    Működési célú hitel felvétele</t>
  </si>
  <si>
    <t>50.</t>
  </si>
  <si>
    <t xml:space="preserve">    Likvid hitel felvétele</t>
  </si>
  <si>
    <t>51.</t>
  </si>
  <si>
    <t xml:space="preserve">    Felhalmozási célú hitel felvétele</t>
  </si>
  <si>
    <t>52.</t>
  </si>
  <si>
    <t>XI. Függő, átfutó bevételek</t>
  </si>
  <si>
    <t>53.</t>
  </si>
  <si>
    <t>54.</t>
  </si>
  <si>
    <t>Finanszírozási célú műveletek bevétele VIII+IX+X+XI</t>
  </si>
  <si>
    <t>55.</t>
  </si>
  <si>
    <t>Bevételek összesen 38+39+54</t>
  </si>
  <si>
    <t>2. Kiadások</t>
  </si>
  <si>
    <t xml:space="preserve">Kiadások </t>
  </si>
  <si>
    <t>2011 évi tény</t>
  </si>
  <si>
    <t>56.</t>
  </si>
  <si>
    <t>I.  Működési kiadások</t>
  </si>
  <si>
    <t>57.</t>
  </si>
  <si>
    <t xml:space="preserve">      Intézményi kiadások</t>
  </si>
  <si>
    <t>58.</t>
  </si>
  <si>
    <t xml:space="preserve">      OEP intézmény</t>
  </si>
  <si>
    <t>59.</t>
  </si>
  <si>
    <t xml:space="preserve">      Önkormányzat</t>
  </si>
  <si>
    <t>60.</t>
  </si>
  <si>
    <t xml:space="preserve">      Polgármesteri Hivatal</t>
  </si>
  <si>
    <t>61.</t>
  </si>
  <si>
    <t xml:space="preserve">      Cigány Kisebbségi önkormányzat</t>
  </si>
  <si>
    <t>62.</t>
  </si>
  <si>
    <t xml:space="preserve">      Ruszin Kisebbségi önkormányzat</t>
  </si>
  <si>
    <t>63.</t>
  </si>
  <si>
    <t>Ebből:</t>
  </si>
  <si>
    <t>64.</t>
  </si>
  <si>
    <t xml:space="preserve">      Személyi juttatások</t>
  </si>
  <si>
    <t>65.</t>
  </si>
  <si>
    <t xml:space="preserve">      Munkaadót terhelő járulék</t>
  </si>
  <si>
    <t>66.</t>
  </si>
  <si>
    <t xml:space="preserve">      Ellátottak pénzbeli juttatásai</t>
  </si>
  <si>
    <t>67.</t>
  </si>
  <si>
    <t xml:space="preserve">      Dologi és egyéb folyó kiadások</t>
  </si>
  <si>
    <t>68.</t>
  </si>
  <si>
    <t xml:space="preserve">      Normatív visszafizetés</t>
  </si>
  <si>
    <t>69.</t>
  </si>
  <si>
    <t xml:space="preserve">      Kamat kiadás</t>
  </si>
  <si>
    <t>70.</t>
  </si>
  <si>
    <t xml:space="preserve">      Támogatásértékű kiadás, működési pénzeszköz átadás</t>
  </si>
  <si>
    <t>71.</t>
  </si>
  <si>
    <t xml:space="preserve">  Társadalom- és szociálpolitikai juttatás</t>
  </si>
  <si>
    <t>72.</t>
  </si>
  <si>
    <t xml:space="preserve">  Kölcsönök nyújtása</t>
  </si>
  <si>
    <t>73.</t>
  </si>
  <si>
    <t xml:space="preserve">  Működési célú pénzmaradvány átadás</t>
  </si>
  <si>
    <t>74.</t>
  </si>
  <si>
    <t xml:space="preserve">  Garancia- és kezességvállalás kiadásai</t>
  </si>
  <si>
    <t>75.</t>
  </si>
  <si>
    <t>76.</t>
  </si>
  <si>
    <t>II.  Felhalmozási kiadások</t>
  </si>
  <si>
    <t>77.</t>
  </si>
  <si>
    <t xml:space="preserve">     Beruházások</t>
  </si>
  <si>
    <t>78.</t>
  </si>
  <si>
    <t xml:space="preserve">     Felújítások</t>
  </si>
  <si>
    <t>79.</t>
  </si>
  <si>
    <t xml:space="preserve"> Felhalmozási célú kamatkiadások</t>
  </si>
  <si>
    <t>80.</t>
  </si>
  <si>
    <t xml:space="preserve">     Támogatásértékű és felhalmozási pénzeszköz átadás</t>
  </si>
  <si>
    <t>81.</t>
  </si>
  <si>
    <t xml:space="preserve"> Felhalmozási célú kölcsönök nyújtása</t>
  </si>
  <si>
    <t>82.</t>
  </si>
  <si>
    <t xml:space="preserve">     Egyéb felhalmozási célú kiadások</t>
  </si>
  <si>
    <t>83.</t>
  </si>
  <si>
    <t xml:space="preserve"> Pénzügyi befektetések kiadásai</t>
  </si>
  <si>
    <t>84.</t>
  </si>
  <si>
    <t xml:space="preserve"> Felhalmozási célú pénzmaradvány átadás</t>
  </si>
  <si>
    <t>85.</t>
  </si>
  <si>
    <t>86.</t>
  </si>
  <si>
    <t>III. Tartalék</t>
  </si>
  <si>
    <t>87.</t>
  </si>
  <si>
    <t xml:space="preserve">     Céltartalék</t>
  </si>
  <si>
    <t>88.</t>
  </si>
  <si>
    <t xml:space="preserve">     Általános tartalék</t>
  </si>
  <si>
    <t>89.</t>
  </si>
  <si>
    <t xml:space="preserve">     Felhalmozási tartalék</t>
  </si>
  <si>
    <t>90.</t>
  </si>
  <si>
    <t>IV. Egyéb kiadások</t>
  </si>
  <si>
    <t>91.</t>
  </si>
  <si>
    <t>Költségvetési kiadások összesen I+II+III+IV</t>
  </si>
  <si>
    <t>92.</t>
  </si>
  <si>
    <t>V. Hitelek törlesztése</t>
  </si>
  <si>
    <t>93.</t>
  </si>
  <si>
    <t xml:space="preserve">      Felhalmozási célú hitel törlesztése</t>
  </si>
  <si>
    <t>94.</t>
  </si>
  <si>
    <t xml:space="preserve">      Működési célú hitel törlesztés</t>
  </si>
  <si>
    <t>95.</t>
  </si>
  <si>
    <t xml:space="preserve">      Likvid hitelek törlesztése</t>
  </si>
  <si>
    <t>96.</t>
  </si>
  <si>
    <t>Vi. Értékpapírok beváltása, vásárlása</t>
  </si>
  <si>
    <t>97.</t>
  </si>
  <si>
    <t xml:space="preserve">  Forgatási célú értékpapír beváltása, vásárlása</t>
  </si>
  <si>
    <t>98.</t>
  </si>
  <si>
    <t xml:space="preserve">  Befektetési célú értékpapír beváltása, vásárlása</t>
  </si>
  <si>
    <t>99.</t>
  </si>
  <si>
    <t>VII.Függő, átfutó kiadások</t>
  </si>
  <si>
    <t>100.</t>
  </si>
  <si>
    <t>Finanszírozási célú műveletek kiadása V+VI+VII</t>
  </si>
  <si>
    <t>101.</t>
  </si>
  <si>
    <t>Kiadások összesen 91+100</t>
  </si>
  <si>
    <t>102.</t>
  </si>
  <si>
    <t>103.</t>
  </si>
  <si>
    <t>KÖLTSÉGVETÉSI HIÁNY, TÖBBLET 38-91</t>
  </si>
  <si>
    <t>104.</t>
  </si>
  <si>
    <t>FINANSZÍROZÁSI CÉLÚ MŰVELETEK EGYENLEGE 54-100</t>
  </si>
  <si>
    <r>
      <t xml:space="preserve">         </t>
    </r>
    <r>
      <rPr>
        <sz val="8"/>
        <rFont val="Arial CE"/>
        <family val="2"/>
      </rPr>
      <t>ebből TB alaptól átvett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</si>
  <si>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</si>
  <si>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I</t>
  </si>
  <si>
    <t>G</t>
  </si>
  <si>
    <t>H</t>
  </si>
  <si>
    <t>J</t>
  </si>
  <si>
    <t>Bevétel megnevezése</t>
  </si>
  <si>
    <t>2009. évi tény</t>
  </si>
  <si>
    <t>2012. évi   terv</t>
  </si>
  <si>
    <t>Kiadás megnevezése</t>
  </si>
  <si>
    <t>Intézményi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</si>
  <si>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</si>
  <si>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</si>
  <si>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</si>
  <si>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</si>
  <si>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és egyéb folyó kiadások</t>
  </si>
  <si>
    <t>Támogatásértékű bevételek</t>
  </si>
  <si>
    <t>Normatív visszafizetés</t>
  </si>
  <si>
    <t>Működési célú pénzeszköz átvétel</t>
  </si>
  <si>
    <t>Működési célú kamatkiadások</t>
  </si>
  <si>
    <t>Működési célú kölcsön visszatérül.</t>
  </si>
  <si>
    <t>Ellátottak pénzbeli juttatása</t>
  </si>
  <si>
    <t>Támogatásért.kiadás,pénzeszköz átad</t>
  </si>
  <si>
    <t>Társadalom- és szociálpolitikai juttatás</t>
  </si>
  <si>
    <t>Garancia- és kezességváll. kiadása</t>
  </si>
  <si>
    <t>Működési célú kölcsön nyújtása</t>
  </si>
  <si>
    <t>Pénzmaradvány átadás</t>
  </si>
  <si>
    <t>Tartalékok</t>
  </si>
  <si>
    <t>Költségvetési bevételek összesen</t>
  </si>
  <si>
    <t>Költségvetési kiadások összesen</t>
  </si>
  <si>
    <t>Előző évi működési célú pénzmaradvány igénybevétele</t>
  </si>
  <si>
    <t>Rövid lejáratú hitelek törlesztése</t>
  </si>
  <si>
    <t>Előző é. vállalk.eredmény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</si>
  <si>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</si>
  <si>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</si>
  <si>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</si>
  <si>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</si>
  <si>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</si>
  <si>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</si>
  <si>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</si>
  <si>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kibocsát.</t>
  </si>
  <si>
    <t>Befektetési célú értékpapír beváltása</t>
  </si>
  <si>
    <t>Forgatási célú értékpapírok értékesít.</t>
  </si>
  <si>
    <t>Befektetési célú értékpapírok vásárl.</t>
  </si>
  <si>
    <t>Befektetési célú értékpapír kibocsát.</t>
  </si>
  <si>
    <t>Függő, átfutó, kiegyenlítő kiadások</t>
  </si>
  <si>
    <t>Befektetési célú értékpapírok ért.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</si>
  <si>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</si>
  <si>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</si>
  <si>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</si>
  <si>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</si>
  <si>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</si>
  <si>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</si>
  <si>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</si>
  <si>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adatok ezer forintban</t>
  </si>
  <si>
    <t>K</t>
  </si>
  <si>
    <t>L</t>
  </si>
  <si>
    <t>M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</si>
  <si>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</si>
  <si>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</si>
  <si>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</si>
  <si>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</si>
  <si>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</si>
  <si>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</si>
  <si>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</si>
  <si>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</si>
  <si>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</si>
  <si>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Kistérségi és egyéb támogatás</t>
  </si>
  <si>
    <t>Önkormány-zati támogatás</t>
  </si>
  <si>
    <t>Pénzma- radvány</t>
  </si>
  <si>
    <t>Támogatás értékű és átvett pénzesz- köz</t>
  </si>
  <si>
    <t>Felhalmo-zás</t>
  </si>
  <si>
    <t>Hitel</t>
  </si>
  <si>
    <t>Összesen</t>
  </si>
  <si>
    <t>Személyi</t>
  </si>
  <si>
    <t>Járulékok</t>
  </si>
  <si>
    <t>Dologi és támogatás</t>
  </si>
  <si>
    <t>Ellátottak juttatásai</t>
  </si>
  <si>
    <t>Vári Emil Társulási Általános Iskola</t>
  </si>
  <si>
    <t>Bessenyei György Gimnázium</t>
  </si>
  <si>
    <t>II. Rákóczi Ferenc Szakközép- Szakiskola</t>
  </si>
  <si>
    <t>Városi Könyvtár</t>
  </si>
  <si>
    <t>Várszínház és Művészetek Háza</t>
  </si>
  <si>
    <t xml:space="preserve">Polgári Védelmi Társulás </t>
  </si>
  <si>
    <t>Önállóan műk.és gazd. intézmény összesen</t>
  </si>
  <si>
    <t>Felső-Szabolcsi Kórház</t>
  </si>
  <si>
    <t>Egészségügyi Alapellátás</t>
  </si>
  <si>
    <t>OEP finanszírozott összesen</t>
  </si>
  <si>
    <t>Csillag-Közi Központi Társulási Óvoda</t>
  </si>
  <si>
    <t>Somogyi Rezső Általános Iskola</t>
  </si>
  <si>
    <t>Teichmann Vilmos Általános Iskola</t>
  </si>
  <si>
    <t>Weiner Leó Alapfokú Zene és Művészeti</t>
  </si>
  <si>
    <t>Pedagógiai Szakszolgálatok</t>
  </si>
  <si>
    <t xml:space="preserve">Kistérségi Szociális Szolgálat </t>
  </si>
  <si>
    <t>Önállóan működő intézmény összesen</t>
  </si>
  <si>
    <t>Polg. Hivatal</t>
  </si>
  <si>
    <t>Önkormányzat</t>
  </si>
  <si>
    <t>Mindösszesen</t>
  </si>
  <si>
    <t xml:space="preserve">      </t>
  </si>
  <si>
    <t>2012. évi V. módosítás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</si>
</sst>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_(* #,##0.000_);_(* \(#,##0.000\);_(* &quot;-&quot;??_);_(@_)"/>
    <numFmt numFmtId="184" formatCode="#,##0.0"/>
    <numFmt numFmtId="185" formatCode="0.00000"/>
    <numFmt numFmtId="186" formatCode="_-* #,##0.0\ _F_t_-;\-* #,##0.0\ _F_t_-;_-* &quot;-&quot;??\ _F_t_-;_-@_-"/>
    <numFmt numFmtId="187" formatCode="_-* #,##0\ _F_t_-;\-* #,##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00000"/>
    <numFmt numFmtId="192" formatCode="&quot;H-&quot;0000"/>
    <numFmt numFmtId="193" formatCode="0.0000000"/>
    <numFmt numFmtId="194" formatCode="#,##0\ &quot;Ft&quot;"/>
    <numFmt numFmtId="195" formatCode="0.0%"/>
    <numFmt numFmtId="196" formatCode="m\.\ d\."/>
    <numFmt numFmtId="197" formatCode="mmm/yyyy"/>
    <numFmt numFmtId="198" formatCode="#,##0_ ;\-#,##0\ "/>
    <numFmt numFmtId="199" formatCode="#,###"/>
    <numFmt numFmtId="200" formatCode="_-* #,##0.00\ _F_t_-;\-* #,##0.00\ _F_t_-;_-* \-??\ _F_t_-;_-@_-"/>
    <numFmt numFmtId="201" formatCode="yyyy\-mm\-dd"/>
    <numFmt numFmtId="202" formatCode="#"/>
    <numFmt numFmtId="203" formatCode="#,##0.000"/>
    <numFmt numFmtId="204" formatCode="#,##0.0000"/>
    <numFmt numFmtId="205" formatCode="00"/>
    <numFmt numFmtId="206" formatCode="[$€-2]\ #\ ##,000_);[Red]\([$€-2]\ #\ ##,000\)"/>
    <numFmt numFmtId="207" formatCode="[$-40E]yyyy\.\ mmmm\ d\."/>
    <numFmt numFmtId="208" formatCode="yyyy\-mm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2"/>
      <name val="Arial CE"/>
      <family val="0"/>
    </font>
    <font>
      <b/>
      <i/>
      <sz val="10"/>
      <name val="Arial CE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0" fontId="25" fillId="0" borderId="10" xfId="62" applyFont="1" applyBorder="1">
      <alignment/>
      <protection/>
    </xf>
    <xf numFmtId="0" fontId="24" fillId="0" borderId="11" xfId="62" applyFont="1" applyBorder="1" applyAlignment="1">
      <alignment horizontal="center"/>
      <protection/>
    </xf>
    <xf numFmtId="0" fontId="24" fillId="0" borderId="12" xfId="62" applyFont="1" applyBorder="1" applyAlignment="1">
      <alignment horizontal="center"/>
      <protection/>
    </xf>
    <xf numFmtId="0" fontId="24" fillId="0" borderId="13" xfId="62" applyFont="1" applyBorder="1" applyAlignment="1">
      <alignment horizontal="center"/>
      <protection/>
    </xf>
    <xf numFmtId="0" fontId="25" fillId="0" borderId="14" xfId="62" applyFont="1" applyBorder="1" applyAlignment="1">
      <alignment horizontal="center" vertical="center" wrapText="1"/>
      <protection/>
    </xf>
    <xf numFmtId="0" fontId="0" fillId="0" borderId="0" xfId="62" applyAlignment="1">
      <alignment horizontal="center" vertical="center" wrapText="1"/>
      <protection/>
    </xf>
    <xf numFmtId="0" fontId="25" fillId="0" borderId="15" xfId="62" applyFont="1" applyBorder="1">
      <alignment/>
      <protection/>
    </xf>
    <xf numFmtId="0" fontId="27" fillId="0" borderId="16" xfId="62" applyFont="1" applyBorder="1">
      <alignment/>
      <protection/>
    </xf>
    <xf numFmtId="3" fontId="26" fillId="0" borderId="17" xfId="62" applyNumberFormat="1" applyFont="1" applyBorder="1">
      <alignment/>
      <protection/>
    </xf>
    <xf numFmtId="3" fontId="26" fillId="0" borderId="18" xfId="62" applyNumberFormat="1" applyFont="1" applyBorder="1">
      <alignment/>
      <protection/>
    </xf>
    <xf numFmtId="0" fontId="27" fillId="0" borderId="19" xfId="62" applyFont="1" applyBorder="1">
      <alignment/>
      <protection/>
    </xf>
    <xf numFmtId="3" fontId="26" fillId="0" borderId="20" xfId="62" applyNumberFormat="1" applyFont="1" applyBorder="1">
      <alignment/>
      <protection/>
    </xf>
    <xf numFmtId="3" fontId="26" fillId="0" borderId="21" xfId="62" applyNumberFormat="1" applyFont="1" applyBorder="1">
      <alignment/>
      <protection/>
    </xf>
    <xf numFmtId="0" fontId="24" fillId="0" borderId="19" xfId="62" applyFont="1" applyBorder="1">
      <alignment/>
      <protection/>
    </xf>
    <xf numFmtId="3" fontId="25" fillId="0" borderId="20" xfId="62" applyNumberFormat="1" applyFont="1" applyBorder="1">
      <alignment/>
      <protection/>
    </xf>
    <xf numFmtId="3" fontId="25" fillId="0" borderId="21" xfId="62" applyNumberFormat="1" applyFont="1" applyBorder="1">
      <alignment/>
      <protection/>
    </xf>
    <xf numFmtId="0" fontId="24" fillId="0" borderId="15" xfId="62" applyFont="1" applyBorder="1">
      <alignment/>
      <protection/>
    </xf>
    <xf numFmtId="3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0" fontId="28" fillId="0" borderId="0" xfId="62" applyFont="1">
      <alignment/>
      <protection/>
    </xf>
    <xf numFmtId="0" fontId="27" fillId="0" borderId="22" xfId="62" applyFont="1" applyBorder="1">
      <alignment/>
      <protection/>
    </xf>
    <xf numFmtId="3" fontId="26" fillId="0" borderId="23" xfId="62" applyNumberFormat="1" applyFont="1" applyBorder="1">
      <alignment/>
      <protection/>
    </xf>
    <xf numFmtId="3" fontId="26" fillId="0" borderId="24" xfId="62" applyNumberFormat="1" applyFont="1" applyBorder="1">
      <alignment/>
      <protection/>
    </xf>
    <xf numFmtId="0" fontId="29" fillId="0" borderId="11" xfId="62" applyFont="1" applyBorder="1" applyAlignment="1">
      <alignment/>
      <protection/>
    </xf>
    <xf numFmtId="3" fontId="30" fillId="0" borderId="12" xfId="62" applyNumberFormat="1" applyFont="1" applyBorder="1" applyAlignment="1">
      <alignment/>
      <protection/>
    </xf>
    <xf numFmtId="3" fontId="30" fillId="0" borderId="13" xfId="62" applyNumberFormat="1" applyFont="1" applyBorder="1" applyAlignment="1">
      <alignment/>
      <protection/>
    </xf>
    <xf numFmtId="3" fontId="25" fillId="0" borderId="20" xfId="62" applyNumberFormat="1" applyFont="1" applyBorder="1">
      <alignment/>
      <protection/>
    </xf>
    <xf numFmtId="3" fontId="25" fillId="0" borderId="21" xfId="62" applyNumberFormat="1" applyFont="1" applyBorder="1">
      <alignment/>
      <protection/>
    </xf>
    <xf numFmtId="3" fontId="31" fillId="0" borderId="20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3" fontId="25" fillId="0" borderId="17" xfId="62" applyNumberFormat="1" applyFont="1" applyBorder="1">
      <alignment/>
      <protection/>
    </xf>
    <xf numFmtId="0" fontId="25" fillId="0" borderId="25" xfId="62" applyFont="1" applyBorder="1">
      <alignment/>
      <protection/>
    </xf>
    <xf numFmtId="0" fontId="27" fillId="6" borderId="11" xfId="62" applyFont="1" applyFill="1" applyBorder="1">
      <alignment/>
      <protection/>
    </xf>
    <xf numFmtId="3" fontId="26" fillId="6" borderId="12" xfId="62" applyNumberFormat="1" applyFont="1" applyFill="1" applyBorder="1">
      <alignment/>
      <protection/>
    </xf>
    <xf numFmtId="3" fontId="26" fillId="6" borderId="13" xfId="62" applyNumberFormat="1" applyFont="1" applyFill="1" applyBorder="1">
      <alignment/>
      <protection/>
    </xf>
    <xf numFmtId="0" fontId="25" fillId="0" borderId="0" xfId="62" applyFont="1">
      <alignment/>
      <protection/>
    </xf>
    <xf numFmtId="3" fontId="25" fillId="0" borderId="0" xfId="62" applyNumberFormat="1" applyFont="1">
      <alignment/>
      <protection/>
    </xf>
    <xf numFmtId="0" fontId="24" fillId="0" borderId="0" xfId="60" applyFont="1" applyAlignment="1">
      <alignment horizontal="center" wrapText="1"/>
      <protection/>
    </xf>
    <xf numFmtId="0" fontId="32" fillId="0" borderId="0" xfId="60" applyFont="1" applyAlignment="1">
      <alignment horizontal="center" wrapText="1"/>
      <protection/>
    </xf>
    <xf numFmtId="0" fontId="25" fillId="0" borderId="26" xfId="62" applyFont="1" applyBorder="1">
      <alignment/>
      <protection/>
    </xf>
    <xf numFmtId="0" fontId="25" fillId="0" borderId="27" xfId="62" applyFont="1" applyBorder="1">
      <alignment/>
      <protection/>
    </xf>
    <xf numFmtId="199" fontId="2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23" xfId="62" applyNumberFormat="1" applyFont="1" applyBorder="1">
      <alignment/>
      <protection/>
    </xf>
    <xf numFmtId="3" fontId="25" fillId="0" borderId="24" xfId="62" applyNumberFormat="1" applyFont="1" applyBorder="1">
      <alignment/>
      <protection/>
    </xf>
    <xf numFmtId="3" fontId="30" fillId="0" borderId="12" xfId="62" applyNumberFormat="1" applyFont="1" applyBorder="1">
      <alignment/>
      <protection/>
    </xf>
    <xf numFmtId="3" fontId="30" fillId="0" borderId="13" xfId="62" applyNumberFormat="1" applyFont="1" applyBorder="1">
      <alignment/>
      <protection/>
    </xf>
    <xf numFmtId="0" fontId="27" fillId="0" borderId="19" xfId="62" applyFont="1" applyBorder="1" applyAlignment="1">
      <alignment vertical="center"/>
      <protection/>
    </xf>
    <xf numFmtId="0" fontId="26" fillId="0" borderId="23" xfId="62" applyFont="1" applyBorder="1">
      <alignment/>
      <protection/>
    </xf>
    <xf numFmtId="0" fontId="29" fillId="0" borderId="11" xfId="61" applyFont="1" applyFill="1" applyBorder="1" applyAlignment="1" applyProtection="1">
      <alignment horizontal="left" wrapText="1"/>
      <protection/>
    </xf>
    <xf numFmtId="3" fontId="30" fillId="0" borderId="12" xfId="62" applyNumberFormat="1" applyFont="1" applyFill="1" applyBorder="1">
      <alignment/>
      <protection/>
    </xf>
    <xf numFmtId="3" fontId="30" fillId="0" borderId="13" xfId="62" applyNumberFormat="1" applyFont="1" applyFill="1" applyBorder="1">
      <alignment/>
      <protection/>
    </xf>
    <xf numFmtId="3" fontId="27" fillId="6" borderId="11" xfId="62" applyNumberFormat="1" applyFont="1" applyFill="1" applyBorder="1">
      <alignment/>
      <protection/>
    </xf>
    <xf numFmtId="0" fontId="0" fillId="0" borderId="11" xfId="62" applyBorder="1">
      <alignment/>
      <protection/>
    </xf>
    <xf numFmtId="3" fontId="25" fillId="0" borderId="12" xfId="62" applyNumberFormat="1" applyFont="1" applyBorder="1">
      <alignment/>
      <protection/>
    </xf>
    <xf numFmtId="3" fontId="25" fillId="0" borderId="13" xfId="62" applyNumberFormat="1" applyFont="1" applyBorder="1">
      <alignment/>
      <protection/>
    </xf>
    <xf numFmtId="199" fontId="27" fillId="0" borderId="11" xfId="0" applyNumberFormat="1" applyFont="1" applyFill="1" applyBorder="1" applyAlignment="1">
      <alignment horizontal="left" wrapText="1" indent="1"/>
    </xf>
    <xf numFmtId="3" fontId="26" fillId="0" borderId="12" xfId="62" applyNumberFormat="1" applyFont="1" applyBorder="1">
      <alignment/>
      <protection/>
    </xf>
    <xf numFmtId="3" fontId="26" fillId="0" borderId="13" xfId="62" applyNumberFormat="1" applyFont="1" applyBorder="1">
      <alignment/>
      <protection/>
    </xf>
    <xf numFmtId="0" fontId="27" fillId="0" borderId="11" xfId="62" applyFont="1" applyBorder="1" applyAlignment="1">
      <alignment horizontal="left" indent="1"/>
      <protection/>
    </xf>
    <xf numFmtId="0" fontId="0" fillId="0" borderId="0" xfId="63">
      <alignment/>
      <protection/>
    </xf>
    <xf numFmtId="0" fontId="25" fillId="0" borderId="28" xfId="63" applyFont="1" applyBorder="1">
      <alignment/>
      <protection/>
    </xf>
    <xf numFmtId="0" fontId="25" fillId="0" borderId="11" xfId="63" applyFont="1" applyBorder="1" applyAlignment="1">
      <alignment horizontal="center"/>
      <protection/>
    </xf>
    <xf numFmtId="0" fontId="25" fillId="0" borderId="12" xfId="63" applyFont="1" applyBorder="1" applyAlignment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0" fontId="25" fillId="0" borderId="29" xfId="63" applyFont="1" applyBorder="1">
      <alignment/>
      <protection/>
    </xf>
    <xf numFmtId="199" fontId="24" fillId="0" borderId="16" xfId="59" applyNumberFormat="1" applyFont="1" applyFill="1" applyBorder="1" applyAlignment="1" applyProtection="1">
      <alignment horizontal="left" vertical="center" wrapText="1"/>
      <protection locked="0"/>
    </xf>
    <xf numFmtId="3" fontId="25" fillId="0" borderId="17" xfId="63" applyNumberFormat="1" applyFont="1" applyBorder="1">
      <alignment/>
      <protection/>
    </xf>
    <xf numFmtId="3" fontId="25" fillId="0" borderId="18" xfId="62" applyNumberFormat="1" applyFont="1" applyBorder="1">
      <alignment/>
      <protection/>
    </xf>
    <xf numFmtId="199" fontId="24" fillId="0" borderId="19" xfId="59" applyNumberFormat="1" applyFont="1" applyFill="1" applyBorder="1" applyAlignment="1" applyProtection="1">
      <alignment horizontal="left" vertical="center" wrapText="1"/>
      <protection locked="0"/>
    </xf>
    <xf numFmtId="3" fontId="25" fillId="0" borderId="20" xfId="63" applyNumberFormat="1" applyFont="1" applyBorder="1">
      <alignment/>
      <protection/>
    </xf>
    <xf numFmtId="3" fontId="25" fillId="0" borderId="21" xfId="63" applyNumberFormat="1" applyFont="1" applyBorder="1">
      <alignment/>
      <protection/>
    </xf>
    <xf numFmtId="199" fontId="24" fillId="0" borderId="22" xfId="59" applyNumberFormat="1" applyFont="1" applyFill="1" applyBorder="1" applyAlignment="1" applyProtection="1">
      <alignment horizontal="left" vertical="center" wrapText="1"/>
      <protection locked="0"/>
    </xf>
    <xf numFmtId="3" fontId="25" fillId="0" borderId="23" xfId="63" applyNumberFormat="1" applyFont="1" applyBorder="1">
      <alignment/>
      <protection/>
    </xf>
    <xf numFmtId="3" fontId="25" fillId="0" borderId="24" xfId="63" applyNumberFormat="1" applyFont="1" applyBorder="1">
      <alignment/>
      <protection/>
    </xf>
    <xf numFmtId="3" fontId="26" fillId="0" borderId="30" xfId="63" applyNumberFormat="1" applyFont="1" applyBorder="1" applyAlignment="1">
      <alignment vertical="center"/>
      <protection/>
    </xf>
    <xf numFmtId="199" fontId="27" fillId="0" borderId="16" xfId="59" applyNumberFormat="1" applyFont="1" applyFill="1" applyBorder="1" applyAlignment="1" applyProtection="1">
      <alignment horizontal="left" vertical="center" wrapText="1"/>
      <protection locked="0"/>
    </xf>
    <xf numFmtId="3" fontId="26" fillId="0" borderId="17" xfId="63" applyNumberFormat="1" applyFont="1" applyBorder="1">
      <alignment/>
      <protection/>
    </xf>
    <xf numFmtId="199" fontId="27" fillId="0" borderId="19" xfId="59" applyNumberFormat="1" applyFont="1" applyFill="1" applyBorder="1" applyAlignment="1" applyProtection="1">
      <alignment horizontal="left" vertical="center" wrapText="1"/>
      <protection locked="0"/>
    </xf>
    <xf numFmtId="3" fontId="26" fillId="0" borderId="20" xfId="63" applyNumberFormat="1" applyFont="1" applyBorder="1">
      <alignment/>
      <protection/>
    </xf>
    <xf numFmtId="3" fontId="26" fillId="0" borderId="21" xfId="63" applyNumberFormat="1" applyFont="1" applyBorder="1">
      <alignment/>
      <protection/>
    </xf>
    <xf numFmtId="3" fontId="25" fillId="0" borderId="20" xfId="59" applyNumberFormat="1" applyFont="1" applyBorder="1">
      <alignment/>
      <protection/>
    </xf>
    <xf numFmtId="0" fontId="25" fillId="0" borderId="20" xfId="62" applyFont="1" applyBorder="1">
      <alignment/>
      <protection/>
    </xf>
    <xf numFmtId="0" fontId="25" fillId="0" borderId="20" xfId="63" applyFont="1" applyBorder="1">
      <alignment/>
      <protection/>
    </xf>
    <xf numFmtId="0" fontId="25" fillId="0" borderId="21" xfId="63" applyFont="1" applyBorder="1">
      <alignment/>
      <protection/>
    </xf>
    <xf numFmtId="3" fontId="26" fillId="0" borderId="23" xfId="63" applyNumberFormat="1" applyFont="1" applyBorder="1">
      <alignment/>
      <protection/>
    </xf>
    <xf numFmtId="3" fontId="26" fillId="0" borderId="24" xfId="63" applyNumberFormat="1" applyFont="1" applyBorder="1">
      <alignment/>
      <protection/>
    </xf>
    <xf numFmtId="199" fontId="27" fillId="0" borderId="31" xfId="59" applyNumberFormat="1" applyFont="1" applyFill="1" applyBorder="1" applyAlignment="1" applyProtection="1">
      <alignment horizontal="left" vertical="center" wrapText="1"/>
      <protection locked="0"/>
    </xf>
    <xf numFmtId="3" fontId="26" fillId="0" borderId="32" xfId="63" applyNumberFormat="1" applyFont="1" applyBorder="1" applyAlignment="1">
      <alignment vertical="center"/>
      <protection/>
    </xf>
    <xf numFmtId="199" fontId="27" fillId="18" borderId="11" xfId="59" applyNumberFormat="1" applyFont="1" applyFill="1" applyBorder="1" applyAlignment="1">
      <alignment horizontal="left" vertical="center" wrapText="1"/>
      <protection/>
    </xf>
    <xf numFmtId="3" fontId="26" fillId="18" borderId="12" xfId="63" applyNumberFormat="1" applyFont="1" applyFill="1" applyBorder="1" applyAlignment="1">
      <alignment vertical="center"/>
      <protection/>
    </xf>
    <xf numFmtId="3" fontId="26" fillId="18" borderId="13" xfId="63" applyNumberFormat="1" applyFont="1" applyFill="1" applyBorder="1" applyAlignment="1">
      <alignment vertical="center"/>
      <protection/>
    </xf>
    <xf numFmtId="0" fontId="28" fillId="0" borderId="0" xfId="63" applyFont="1">
      <alignment/>
      <protection/>
    </xf>
    <xf numFmtId="0" fontId="25" fillId="0" borderId="33" xfId="63" applyFont="1" applyBorder="1">
      <alignment/>
      <protection/>
    </xf>
    <xf numFmtId="199" fontId="27" fillId="0" borderId="11" xfId="59" applyNumberFormat="1" applyFont="1" applyFill="1" applyBorder="1" applyAlignment="1">
      <alignment horizontal="left" vertical="center" wrapText="1" indent="1"/>
      <protection/>
    </xf>
    <xf numFmtId="3" fontId="26" fillId="0" borderId="12" xfId="63" applyNumberFormat="1" applyFont="1" applyBorder="1" applyAlignment="1">
      <alignment vertical="center"/>
      <protection/>
    </xf>
    <xf numFmtId="3" fontId="26" fillId="0" borderId="13" xfId="63" applyNumberFormat="1" applyFont="1" applyBorder="1" applyAlignment="1">
      <alignment vertical="center"/>
      <protection/>
    </xf>
    <xf numFmtId="3" fontId="26" fillId="0" borderId="12" xfId="62" applyNumberFormat="1" applyFont="1" applyBorder="1" applyAlignment="1">
      <alignment vertical="center"/>
      <protection/>
    </xf>
    <xf numFmtId="0" fontId="0" fillId="0" borderId="0" xfId="64">
      <alignment/>
      <protection/>
    </xf>
    <xf numFmtId="0" fontId="0" fillId="0" borderId="34" xfId="64" applyBorder="1">
      <alignment/>
      <protection/>
    </xf>
    <xf numFmtId="0" fontId="0" fillId="0" borderId="35" xfId="64" applyFont="1" applyBorder="1" applyAlignment="1">
      <alignment horizontal="center"/>
      <protection/>
    </xf>
    <xf numFmtId="0" fontId="0" fillId="0" borderId="12" xfId="64" applyFont="1" applyBorder="1" applyAlignment="1">
      <alignment horizontal="center"/>
      <protection/>
    </xf>
    <xf numFmtId="0" fontId="22" fillId="0" borderId="12" xfId="58" applyFont="1" applyBorder="1" applyAlignment="1">
      <alignment horizontal="center"/>
      <protection/>
    </xf>
    <xf numFmtId="0" fontId="22" fillId="0" borderId="13" xfId="58" applyFont="1" applyBorder="1" applyAlignment="1">
      <alignment horizontal="center"/>
      <protection/>
    </xf>
    <xf numFmtId="0" fontId="0" fillId="0" borderId="36" xfId="64" applyBorder="1">
      <alignment/>
      <protection/>
    </xf>
    <xf numFmtId="0" fontId="0" fillId="0" borderId="37" xfId="64" applyBorder="1">
      <alignment/>
      <protection/>
    </xf>
    <xf numFmtId="0" fontId="35" fillId="0" borderId="32" xfId="64" applyFont="1" applyBorder="1" applyAlignment="1">
      <alignment horizontal="centerContinuous"/>
      <protection/>
    </xf>
    <xf numFmtId="0" fontId="35" fillId="0" borderId="38" xfId="64" applyFont="1" applyBorder="1" applyAlignment="1">
      <alignment horizontal="centerContinuous"/>
      <protection/>
    </xf>
    <xf numFmtId="0" fontId="26" fillId="6" borderId="39" xfId="64" applyFont="1" applyFill="1" applyBorder="1" applyAlignment="1">
      <alignment horizontal="center" vertical="center"/>
      <protection/>
    </xf>
    <xf numFmtId="0" fontId="26" fillId="6" borderId="35" xfId="64" applyFont="1" applyFill="1" applyBorder="1" applyAlignment="1">
      <alignment horizontal="center" vertical="center"/>
      <protection/>
    </xf>
    <xf numFmtId="0" fontId="26" fillId="6" borderId="12" xfId="64" applyFont="1" applyFill="1" applyBorder="1" applyAlignment="1">
      <alignment horizontal="center" vertical="center"/>
      <protection/>
    </xf>
    <xf numFmtId="0" fontId="26" fillId="6" borderId="12" xfId="64" applyFont="1" applyFill="1" applyBorder="1" applyAlignment="1">
      <alignment horizontal="center" vertical="center" wrapText="1"/>
      <protection/>
    </xf>
    <xf numFmtId="0" fontId="26" fillId="6" borderId="40" xfId="64" applyFont="1" applyFill="1" applyBorder="1" applyAlignment="1">
      <alignment horizontal="center" vertical="center" wrapText="1"/>
      <protection/>
    </xf>
    <xf numFmtId="0" fontId="26" fillId="6" borderId="40" xfId="64" applyFont="1" applyFill="1" applyBorder="1" applyAlignment="1">
      <alignment horizontal="center" vertical="center"/>
      <protection/>
    </xf>
    <xf numFmtId="0" fontId="0" fillId="0" borderId="41" xfId="64" applyFont="1" applyBorder="1">
      <alignment/>
      <protection/>
    </xf>
    <xf numFmtId="0" fontId="27" fillId="16" borderId="42" xfId="64" applyFont="1" applyFill="1" applyBorder="1" applyAlignment="1">
      <alignment vertical="top" wrapText="1"/>
      <protection/>
    </xf>
    <xf numFmtId="3" fontId="0" fillId="0" borderId="43" xfId="64" applyNumberFormat="1" applyFont="1" applyBorder="1">
      <alignment/>
      <protection/>
    </xf>
    <xf numFmtId="3" fontId="0" fillId="0" borderId="44" xfId="64" applyNumberFormat="1" applyFont="1" applyBorder="1">
      <alignment/>
      <protection/>
    </xf>
    <xf numFmtId="3" fontId="0" fillId="0" borderId="45" xfId="64" applyNumberFormat="1" applyFont="1" applyBorder="1">
      <alignment/>
      <protection/>
    </xf>
    <xf numFmtId="3" fontId="28" fillId="0" borderId="46" xfId="64" applyNumberFormat="1" applyFont="1" applyBorder="1">
      <alignment/>
      <protection/>
    </xf>
    <xf numFmtId="3" fontId="0" fillId="0" borderId="0" xfId="64" applyNumberFormat="1">
      <alignment/>
      <protection/>
    </xf>
    <xf numFmtId="0" fontId="27" fillId="16" borderId="47" xfId="64" applyFont="1" applyFill="1" applyBorder="1" applyAlignment="1">
      <alignment vertical="top" wrapText="1"/>
      <protection/>
    </xf>
    <xf numFmtId="3" fontId="0" fillId="0" borderId="48" xfId="64" applyNumberFormat="1" applyFont="1" applyBorder="1">
      <alignment/>
      <protection/>
    </xf>
    <xf numFmtId="3" fontId="0" fillId="0" borderId="20" xfId="64" applyNumberFormat="1" applyFont="1" applyBorder="1">
      <alignment/>
      <protection/>
    </xf>
    <xf numFmtId="3" fontId="0" fillId="0" borderId="49" xfId="64" applyNumberFormat="1" applyFont="1" applyBorder="1">
      <alignment/>
      <protection/>
    </xf>
    <xf numFmtId="3" fontId="28" fillId="0" borderId="41" xfId="64" applyNumberFormat="1" applyFont="1" applyBorder="1">
      <alignment/>
      <protection/>
    </xf>
    <xf numFmtId="3" fontId="0" fillId="0" borderId="0" xfId="64" applyNumberFormat="1" applyFont="1">
      <alignment/>
      <protection/>
    </xf>
    <xf numFmtId="0" fontId="0" fillId="0" borderId="0" xfId="64" applyFont="1">
      <alignment/>
      <protection/>
    </xf>
    <xf numFmtId="0" fontId="27" fillId="16" borderId="47" xfId="64" applyFont="1" applyFill="1" applyBorder="1" applyAlignment="1">
      <alignment vertical="center" wrapText="1"/>
      <protection/>
    </xf>
    <xf numFmtId="3" fontId="0" fillId="0" borderId="0" xfId="64" applyNumberFormat="1" applyFont="1">
      <alignment/>
      <protection/>
    </xf>
    <xf numFmtId="0" fontId="27" fillId="16" borderId="50" xfId="64" applyFont="1" applyFill="1" applyBorder="1" applyAlignment="1">
      <alignment vertical="top" wrapText="1"/>
      <protection/>
    </xf>
    <xf numFmtId="3" fontId="0" fillId="0" borderId="51" xfId="64" applyNumberFormat="1" applyFont="1" applyBorder="1">
      <alignment/>
      <protection/>
    </xf>
    <xf numFmtId="3" fontId="0" fillId="0" borderId="52" xfId="64" applyNumberFormat="1" applyFont="1" applyBorder="1">
      <alignment/>
      <protection/>
    </xf>
    <xf numFmtId="3" fontId="0" fillId="0" borderId="53" xfId="64" applyNumberFormat="1" applyFont="1" applyBorder="1">
      <alignment/>
      <protection/>
    </xf>
    <xf numFmtId="3" fontId="28" fillId="0" borderId="54" xfId="64" applyNumberFormat="1" applyFont="1" applyBorder="1">
      <alignment/>
      <protection/>
    </xf>
    <xf numFmtId="3" fontId="28" fillId="0" borderId="36" xfId="64" applyNumberFormat="1" applyFont="1" applyBorder="1">
      <alignment/>
      <protection/>
    </xf>
    <xf numFmtId="0" fontId="29" fillId="6" borderId="26" xfId="64" applyFont="1" applyFill="1" applyBorder="1" applyAlignment="1">
      <alignment horizontal="center" wrapText="1"/>
      <protection/>
    </xf>
    <xf numFmtId="3" fontId="36" fillId="6" borderId="11" xfId="64" applyNumberFormat="1" applyFont="1" applyFill="1" applyBorder="1">
      <alignment/>
      <protection/>
    </xf>
    <xf numFmtId="3" fontId="36" fillId="6" borderId="12" xfId="64" applyNumberFormat="1" applyFont="1" applyFill="1" applyBorder="1">
      <alignment/>
      <protection/>
    </xf>
    <xf numFmtId="3" fontId="36" fillId="6" borderId="40" xfId="64" applyNumberFormat="1" applyFont="1" applyFill="1" applyBorder="1">
      <alignment/>
      <protection/>
    </xf>
    <xf numFmtId="3" fontId="36" fillId="6" borderId="39" xfId="64" applyNumberFormat="1" applyFont="1" applyFill="1" applyBorder="1">
      <alignment/>
      <protection/>
    </xf>
    <xf numFmtId="3" fontId="36" fillId="6" borderId="35" xfId="64" applyNumberFormat="1" applyFont="1" applyFill="1" applyBorder="1">
      <alignment/>
      <protection/>
    </xf>
    <xf numFmtId="0" fontId="27" fillId="0" borderId="55" xfId="64" applyFont="1" applyFill="1" applyBorder="1">
      <alignment/>
      <protection/>
    </xf>
    <xf numFmtId="3" fontId="0" fillId="0" borderId="56" xfId="64" applyNumberFormat="1" applyFont="1" applyBorder="1">
      <alignment/>
      <protection/>
    </xf>
    <xf numFmtId="0" fontId="27" fillId="0" borderId="57" xfId="64" applyFont="1" applyFill="1" applyBorder="1" applyAlignment="1">
      <alignment vertical="top" wrapText="1"/>
      <protection/>
    </xf>
    <xf numFmtId="3" fontId="0" fillId="0" borderId="58" xfId="64" applyNumberFormat="1" applyFont="1" applyBorder="1">
      <alignment/>
      <protection/>
    </xf>
    <xf numFmtId="0" fontId="29" fillId="6" borderId="26" xfId="64" applyFont="1" applyFill="1" applyBorder="1" applyAlignment="1">
      <alignment vertical="top" wrapText="1"/>
      <protection/>
    </xf>
    <xf numFmtId="0" fontId="27" fillId="0" borderId="27" xfId="57" applyFont="1" applyBorder="1" applyAlignment="1">
      <alignment wrapText="1"/>
      <protection/>
    </xf>
    <xf numFmtId="3" fontId="0" fillId="0" borderId="56" xfId="57" applyNumberFormat="1" applyFont="1" applyBorder="1">
      <alignment/>
      <protection/>
    </xf>
    <xf numFmtId="3" fontId="0" fillId="0" borderId="44" xfId="57" applyNumberFormat="1" applyFont="1" applyBorder="1">
      <alignment/>
      <protection/>
    </xf>
    <xf numFmtId="3" fontId="0" fillId="0" borderId="45" xfId="57" applyNumberFormat="1" applyFont="1" applyBorder="1">
      <alignment/>
      <protection/>
    </xf>
    <xf numFmtId="3" fontId="36" fillId="0" borderId="46" xfId="64" applyNumberFormat="1" applyFont="1" applyBorder="1">
      <alignment/>
      <protection/>
    </xf>
    <xf numFmtId="3" fontId="0" fillId="0" borderId="43" xfId="57" applyNumberFormat="1" applyFont="1" applyBorder="1">
      <alignment/>
      <protection/>
    </xf>
    <xf numFmtId="3" fontId="36" fillId="0" borderId="44" xfId="64" applyNumberFormat="1" applyFont="1" applyBorder="1">
      <alignment/>
      <protection/>
    </xf>
    <xf numFmtId="3" fontId="36" fillId="0" borderId="45" xfId="64" applyNumberFormat="1" applyFont="1" applyBorder="1">
      <alignment/>
      <protection/>
    </xf>
    <xf numFmtId="0" fontId="27" fillId="0" borderId="15" xfId="57" applyFont="1" applyBorder="1" applyAlignment="1">
      <alignment wrapText="1"/>
      <protection/>
    </xf>
    <xf numFmtId="3" fontId="0" fillId="0" borderId="19" xfId="57" applyNumberFormat="1" applyFont="1" applyBorder="1">
      <alignment/>
      <protection/>
    </xf>
    <xf numFmtId="3" fontId="0" fillId="0" borderId="20" xfId="57" applyNumberFormat="1" applyFont="1" applyBorder="1">
      <alignment/>
      <protection/>
    </xf>
    <xf numFmtId="0" fontId="0" fillId="0" borderId="20" xfId="64" applyFont="1" applyBorder="1">
      <alignment/>
      <protection/>
    </xf>
    <xf numFmtId="3" fontId="0" fillId="0" borderId="49" xfId="57" applyNumberFormat="1" applyFont="1" applyBorder="1">
      <alignment/>
      <protection/>
    </xf>
    <xf numFmtId="3" fontId="36" fillId="0" borderId="41" xfId="64" applyNumberFormat="1" applyFont="1" applyBorder="1">
      <alignment/>
      <protection/>
    </xf>
    <xf numFmtId="3" fontId="0" fillId="0" borderId="48" xfId="57" applyNumberFormat="1" applyFont="1" applyBorder="1">
      <alignment/>
      <protection/>
    </xf>
    <xf numFmtId="3" fontId="36" fillId="0" borderId="20" xfId="64" applyNumberFormat="1" applyFont="1" applyBorder="1">
      <alignment/>
      <protection/>
    </xf>
    <xf numFmtId="3" fontId="36" fillId="0" borderId="49" xfId="64" applyNumberFormat="1" applyFont="1" applyBorder="1">
      <alignment/>
      <protection/>
    </xf>
    <xf numFmtId="0" fontId="27" fillId="0" borderId="59" xfId="57" applyFont="1" applyBorder="1" applyAlignment="1">
      <alignment wrapText="1"/>
      <protection/>
    </xf>
    <xf numFmtId="3" fontId="0" fillId="0" borderId="58" xfId="57" applyNumberFormat="1" applyFont="1" applyBorder="1">
      <alignment/>
      <protection/>
    </xf>
    <xf numFmtId="3" fontId="0" fillId="0" borderId="52" xfId="57" applyNumberFormat="1" applyFont="1" applyBorder="1">
      <alignment/>
      <protection/>
    </xf>
    <xf numFmtId="3" fontId="0" fillId="0" borderId="53" xfId="57" applyNumberFormat="1" applyFont="1" applyBorder="1">
      <alignment/>
      <protection/>
    </xf>
    <xf numFmtId="3" fontId="36" fillId="0" borderId="54" xfId="64" applyNumberFormat="1" applyFont="1" applyBorder="1">
      <alignment/>
      <protection/>
    </xf>
    <xf numFmtId="3" fontId="0" fillId="0" borderId="51" xfId="57" applyNumberFormat="1" applyFont="1" applyBorder="1">
      <alignment/>
      <protection/>
    </xf>
    <xf numFmtId="3" fontId="28" fillId="6" borderId="11" xfId="57" applyNumberFormat="1" applyFont="1" applyFill="1" applyBorder="1">
      <alignment/>
      <protection/>
    </xf>
    <xf numFmtId="3" fontId="28" fillId="6" borderId="12" xfId="57" applyNumberFormat="1" applyFont="1" applyFill="1" applyBorder="1">
      <alignment/>
      <protection/>
    </xf>
    <xf numFmtId="3" fontId="28" fillId="6" borderId="40" xfId="57" applyNumberFormat="1" applyFont="1" applyFill="1" applyBorder="1">
      <alignment/>
      <protection/>
    </xf>
    <xf numFmtId="3" fontId="28" fillId="6" borderId="35" xfId="57" applyNumberFormat="1" applyFont="1" applyFill="1" applyBorder="1">
      <alignment/>
      <protection/>
    </xf>
    <xf numFmtId="0" fontId="0" fillId="0" borderId="15" xfId="64" applyFont="1" applyBorder="1">
      <alignment/>
      <protection/>
    </xf>
    <xf numFmtId="0" fontId="27" fillId="0" borderId="60" xfId="64" applyFont="1" applyFill="1" applyBorder="1">
      <alignment/>
      <protection/>
    </xf>
    <xf numFmtId="0" fontId="27" fillId="0" borderId="36" xfId="64" applyFont="1" applyFill="1" applyBorder="1">
      <alignment/>
      <protection/>
    </xf>
    <xf numFmtId="3" fontId="0" fillId="0" borderId="61" xfId="64" applyNumberFormat="1" applyFont="1" applyBorder="1">
      <alignment/>
      <protection/>
    </xf>
    <xf numFmtId="3" fontId="0" fillId="0" borderId="30" xfId="64" applyNumberFormat="1" applyFont="1" applyBorder="1">
      <alignment/>
      <protection/>
    </xf>
    <xf numFmtId="3" fontId="0" fillId="0" borderId="62" xfId="64" applyNumberFormat="1" applyFont="1" applyBorder="1">
      <alignment/>
      <protection/>
    </xf>
    <xf numFmtId="3" fontId="0" fillId="0" borderId="63" xfId="64" applyNumberFormat="1" applyFont="1" applyBorder="1">
      <alignment/>
      <protection/>
    </xf>
    <xf numFmtId="3" fontId="27" fillId="0" borderId="64" xfId="64" applyNumberFormat="1" applyFont="1" applyFill="1" applyBorder="1" applyAlignment="1">
      <alignment wrapText="1"/>
      <protection/>
    </xf>
    <xf numFmtId="3" fontId="0" fillId="0" borderId="22" xfId="64" applyNumberFormat="1" applyFont="1" applyBorder="1">
      <alignment/>
      <protection/>
    </xf>
    <xf numFmtId="3" fontId="0" fillId="0" borderId="23" xfId="64" applyNumberFormat="1" applyFont="1" applyBorder="1">
      <alignment/>
      <protection/>
    </xf>
    <xf numFmtId="3" fontId="0" fillId="0" borderId="65" xfId="64" applyNumberFormat="1" applyFont="1" applyBorder="1">
      <alignment/>
      <protection/>
    </xf>
    <xf numFmtId="3" fontId="28" fillId="0" borderId="64" xfId="64" applyNumberFormat="1" applyFont="1" applyFill="1" applyBorder="1">
      <alignment/>
      <protection/>
    </xf>
    <xf numFmtId="3" fontId="0" fillId="0" borderId="66" xfId="64" applyNumberFormat="1" applyFont="1" applyFill="1" applyBorder="1">
      <alignment/>
      <protection/>
    </xf>
    <xf numFmtId="3" fontId="28" fillId="0" borderId="64" xfId="64" applyNumberFormat="1" applyFont="1" applyBorder="1">
      <alignment/>
      <protection/>
    </xf>
    <xf numFmtId="0" fontId="26" fillId="6" borderId="39" xfId="64" applyFont="1" applyFill="1" applyBorder="1">
      <alignment/>
      <protection/>
    </xf>
    <xf numFmtId="3" fontId="28" fillId="6" borderId="37" xfId="64" applyNumberFormat="1" applyFont="1" applyFill="1" applyBorder="1">
      <alignment/>
      <protection/>
    </xf>
    <xf numFmtId="3" fontId="28" fillId="6" borderId="67" xfId="64" applyNumberFormat="1" applyFont="1" applyFill="1" applyBorder="1">
      <alignment/>
      <protection/>
    </xf>
    <xf numFmtId="3" fontId="28" fillId="6" borderId="68" xfId="64" applyNumberFormat="1" applyFont="1" applyFill="1" applyBorder="1">
      <alignment/>
      <protection/>
    </xf>
    <xf numFmtId="0" fontId="0" fillId="0" borderId="0" xfId="64" applyFont="1">
      <alignment/>
      <protection/>
    </xf>
    <xf numFmtId="3" fontId="37" fillId="0" borderId="0" xfId="64" applyNumberFormat="1" applyFont="1" applyBorder="1">
      <alignment/>
      <protection/>
    </xf>
    <xf numFmtId="3" fontId="37" fillId="0" borderId="69" xfId="64" applyNumberFormat="1" applyFont="1" applyBorder="1">
      <alignment/>
      <protection/>
    </xf>
    <xf numFmtId="3" fontId="28" fillId="0" borderId="0" xfId="64" applyNumberFormat="1" applyFont="1">
      <alignment/>
      <protection/>
    </xf>
    <xf numFmtId="199" fontId="27" fillId="0" borderId="61" xfId="59" applyNumberFormat="1" applyFont="1" applyFill="1" applyBorder="1" applyAlignment="1" applyProtection="1">
      <alignment horizontal="left" vertical="center" wrapText="1"/>
      <protection locked="0"/>
    </xf>
    <xf numFmtId="0" fontId="27" fillId="18" borderId="70" xfId="63" applyFont="1" applyFill="1" applyBorder="1" applyAlignment="1">
      <alignment horizontal="center" vertical="center" wrapText="1"/>
      <protection/>
    </xf>
    <xf numFmtId="0" fontId="24" fillId="0" borderId="19" xfId="63" applyFont="1" applyBorder="1" applyAlignment="1">
      <alignment horizontal="left"/>
      <protection/>
    </xf>
    <xf numFmtId="0" fontId="26" fillId="6" borderId="71" xfId="62" applyFont="1" applyFill="1" applyBorder="1" applyAlignment="1">
      <alignment horizontal="center" vertical="center" wrapText="1"/>
      <protection/>
    </xf>
    <xf numFmtId="0" fontId="27" fillId="6" borderId="70" xfId="62" applyFont="1" applyFill="1" applyBorder="1" applyAlignment="1">
      <alignment horizontal="center" vertical="center" wrapText="1"/>
      <protection/>
    </xf>
    <xf numFmtId="0" fontId="27" fillId="0" borderId="71" xfId="62" applyFont="1" applyBorder="1">
      <alignment/>
      <protection/>
    </xf>
    <xf numFmtId="3" fontId="25" fillId="0" borderId="70" xfId="62" applyNumberFormat="1" applyFont="1" applyBorder="1">
      <alignment/>
      <protection/>
    </xf>
    <xf numFmtId="3" fontId="26" fillId="0" borderId="70" xfId="62" applyNumberFormat="1" applyFont="1" applyBorder="1">
      <alignment/>
      <protection/>
    </xf>
    <xf numFmtId="0" fontId="26" fillId="6" borderId="61" xfId="62" applyFont="1" applyFill="1" applyBorder="1" applyAlignment="1">
      <alignment horizontal="center"/>
      <protection/>
    </xf>
    <xf numFmtId="0" fontId="27" fillId="6" borderId="30" xfId="62" applyFont="1" applyFill="1" applyBorder="1" applyAlignment="1">
      <alignment horizontal="center" vertical="center" wrapText="1"/>
      <protection/>
    </xf>
    <xf numFmtId="0" fontId="27" fillId="18" borderId="30" xfId="62" applyFont="1" applyFill="1" applyBorder="1" applyAlignment="1">
      <alignment horizontal="center" vertical="top" wrapText="1"/>
      <protection/>
    </xf>
    <xf numFmtId="0" fontId="27" fillId="18" borderId="72" xfId="62" applyFont="1" applyFill="1" applyBorder="1" applyAlignment="1">
      <alignment horizontal="center" vertical="top" wrapText="1"/>
      <protection/>
    </xf>
    <xf numFmtId="3" fontId="30" fillId="0" borderId="12" xfId="62" applyNumberFormat="1" applyFont="1" applyBorder="1">
      <alignment/>
      <protection/>
    </xf>
    <xf numFmtId="3" fontId="30" fillId="0" borderId="13" xfId="62" applyNumberFormat="1" applyFont="1" applyBorder="1">
      <alignment/>
      <protection/>
    </xf>
    <xf numFmtId="3" fontId="26" fillId="0" borderId="73" xfId="62" applyNumberFormat="1" applyFont="1" applyBorder="1">
      <alignment/>
      <protection/>
    </xf>
    <xf numFmtId="199" fontId="27" fillId="0" borderId="11" xfId="59" applyNumberFormat="1" applyFont="1" applyFill="1" applyBorder="1" applyAlignment="1" applyProtection="1">
      <alignment horizontal="left" vertical="center" wrapText="1"/>
      <protection/>
    </xf>
    <xf numFmtId="199" fontId="27" fillId="0" borderId="11" xfId="59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2" applyFont="1" applyAlignment="1">
      <alignment horizontal="center"/>
      <protection/>
    </xf>
    <xf numFmtId="0" fontId="33" fillId="0" borderId="0" xfId="64" applyFont="1" applyBorder="1" applyAlignment="1">
      <alignment horizontal="right"/>
      <protection/>
    </xf>
    <xf numFmtId="0" fontId="34" fillId="0" borderId="0" xfId="58" applyFont="1" applyBorder="1" applyAlignment="1">
      <alignment horizontal="right"/>
      <protection/>
    </xf>
    <xf numFmtId="0" fontId="32" fillId="0" borderId="0" xfId="60" applyFont="1" applyAlignment="1">
      <alignment horizontal="center" wrapText="1"/>
      <protection/>
    </xf>
    <xf numFmtId="0" fontId="25" fillId="0" borderId="74" xfId="63" applyFont="1" applyBorder="1" applyAlignment="1">
      <alignment horizontal="center" vertical="center"/>
      <protection/>
    </xf>
    <xf numFmtId="0" fontId="28" fillId="18" borderId="71" xfId="63" applyFont="1" applyFill="1" applyBorder="1" applyAlignment="1">
      <alignment horizontal="center" vertical="center"/>
      <protection/>
    </xf>
    <xf numFmtId="0" fontId="27" fillId="18" borderId="73" xfId="63" applyFont="1" applyFill="1" applyBorder="1" applyAlignment="1">
      <alignment horizontal="center" vertical="center" wrapText="1"/>
      <protection/>
    </xf>
    <xf numFmtId="0" fontId="27" fillId="18" borderId="71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27" fillId="18" borderId="70" xfId="62" applyFont="1" applyFill="1" applyBorder="1" applyAlignment="1">
      <alignment horizontal="center" vertical="center" wrapText="1"/>
      <protection/>
    </xf>
    <xf numFmtId="0" fontId="27" fillId="18" borderId="73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2011.I.félévi beszámoló táblázatai" xfId="59"/>
    <cellStyle name="Normál_címrend1" xfId="60"/>
    <cellStyle name="Normál_KVRENMUNKA" xfId="61"/>
    <cellStyle name="Normál_mérleg" xfId="62"/>
    <cellStyle name="Normál_mérleg_2011.I.félévi beszámoló táblázatai" xfId="63"/>
    <cellStyle name="Normál_Vált.2003-04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pane xSplit="2" ySplit="4" topLeftCell="C5" activePane="bottomRight" state="frozen"/>
      <selection pane="topLeft" activeCell="J38" sqref="J37:J38"/>
      <selection pane="topRight" activeCell="J38" sqref="J37:J38"/>
      <selection pane="bottomLeft" activeCell="J38" sqref="J37:J38"/>
      <selection pane="bottomRight" activeCell="L18" sqref="L18"/>
    </sheetView>
  </sheetViews>
  <sheetFormatPr defaultColWidth="9.00390625" defaultRowHeight="12.75"/>
  <cols>
    <col min="1" max="1" width="3.875" style="1" customWidth="1"/>
    <col min="2" max="2" width="43.875" style="1" customWidth="1"/>
    <col min="3" max="3" width="9.625" style="1" customWidth="1"/>
    <col min="4" max="4" width="10.00390625" style="1" customWidth="1"/>
    <col min="5" max="5" width="9.75390625" style="2" customWidth="1"/>
    <col min="6" max="6" width="9.625" style="2" customWidth="1"/>
    <col min="7" max="16384" width="9.125" style="1" customWidth="1"/>
  </cols>
  <sheetData>
    <row r="1" spans="1:6" ht="15">
      <c r="A1" s="215" t="s">
        <v>0</v>
      </c>
      <c r="B1" s="215"/>
      <c r="C1" s="215"/>
      <c r="D1" s="215"/>
      <c r="E1" s="1"/>
      <c r="F1" s="1"/>
    </row>
    <row r="2" ht="12.75" customHeight="1" thickBot="1"/>
    <row r="3" spans="1:6" ht="12" customHeight="1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s="8" customFormat="1" ht="34.5" thickBot="1">
      <c r="A4" s="7"/>
      <c r="B4" s="201" t="s">
        <v>7</v>
      </c>
      <c r="C4" s="202" t="s">
        <v>8</v>
      </c>
      <c r="D4" s="202" t="s">
        <v>9</v>
      </c>
      <c r="E4" s="224" t="s">
        <v>10</v>
      </c>
      <c r="F4" s="225" t="s">
        <v>311</v>
      </c>
    </row>
    <row r="5" spans="1:6" ht="12" customHeight="1">
      <c r="A5" s="9" t="s">
        <v>11</v>
      </c>
      <c r="B5" s="10" t="s">
        <v>12</v>
      </c>
      <c r="C5" s="11">
        <f>C6+C7+C8</f>
        <v>1981093</v>
      </c>
      <c r="D5" s="11">
        <f>D6+D7+D8</f>
        <v>1507023</v>
      </c>
      <c r="E5" s="11">
        <f>E6+E7+E8</f>
        <v>1524226</v>
      </c>
      <c r="F5" s="12">
        <f>F6+F7+F8</f>
        <v>1524226</v>
      </c>
    </row>
    <row r="6" spans="1:6" ht="12" customHeight="1">
      <c r="A6" s="9" t="s">
        <v>13</v>
      </c>
      <c r="B6" s="13" t="s">
        <v>14</v>
      </c>
      <c r="C6" s="14">
        <v>442010</v>
      </c>
      <c r="D6" s="14">
        <v>222139</v>
      </c>
      <c r="E6" s="14">
        <f>222139+336+19751-73</f>
        <v>242153</v>
      </c>
      <c r="F6" s="15">
        <f>222139+336+19751-73</f>
        <v>242153</v>
      </c>
    </row>
    <row r="7" spans="1:6" ht="12" customHeight="1">
      <c r="A7" s="9" t="s">
        <v>15</v>
      </c>
      <c r="B7" s="13" t="s">
        <v>16</v>
      </c>
      <c r="C7" s="14">
        <v>162329</v>
      </c>
      <c r="D7" s="14">
        <v>60500</v>
      </c>
      <c r="E7" s="14">
        <f>60500-2811</f>
        <v>57689</v>
      </c>
      <c r="F7" s="15">
        <f>60500-2811</f>
        <v>57689</v>
      </c>
    </row>
    <row r="8" spans="1:6" ht="12" customHeight="1">
      <c r="A8" s="9" t="s">
        <v>17</v>
      </c>
      <c r="B8" s="13" t="s">
        <v>18</v>
      </c>
      <c r="C8" s="14">
        <v>1376754</v>
      </c>
      <c r="D8" s="14">
        <f>SUM(D9:D16)</f>
        <v>1224384</v>
      </c>
      <c r="E8" s="14">
        <f>SUM(E9:E16)</f>
        <v>1224384</v>
      </c>
      <c r="F8" s="15">
        <f>SUM(F9:F16)</f>
        <v>1224384</v>
      </c>
    </row>
    <row r="9" spans="1:6" ht="12" customHeight="1">
      <c r="A9" s="9" t="s">
        <v>19</v>
      </c>
      <c r="B9" s="16" t="s">
        <v>20</v>
      </c>
      <c r="C9" s="17">
        <v>841917</v>
      </c>
      <c r="D9" s="17">
        <v>820000</v>
      </c>
      <c r="E9" s="17">
        <v>820000</v>
      </c>
      <c r="F9" s="18">
        <v>820000</v>
      </c>
    </row>
    <row r="10" spans="1:6" ht="12" customHeight="1">
      <c r="A10" s="9" t="s">
        <v>21</v>
      </c>
      <c r="B10" s="16" t="s">
        <v>22</v>
      </c>
      <c r="C10" s="17">
        <v>49303</v>
      </c>
      <c r="D10" s="17">
        <v>49500</v>
      </c>
      <c r="E10" s="17">
        <v>49500</v>
      </c>
      <c r="F10" s="18">
        <v>49500</v>
      </c>
    </row>
    <row r="11" spans="1:6" ht="12" customHeight="1">
      <c r="A11" s="9" t="s">
        <v>23</v>
      </c>
      <c r="B11" s="16" t="s">
        <v>24</v>
      </c>
      <c r="C11" s="17">
        <v>1904</v>
      </c>
      <c r="D11" s="17">
        <v>2000</v>
      </c>
      <c r="E11" s="17">
        <v>2000</v>
      </c>
      <c r="F11" s="18">
        <v>2000</v>
      </c>
    </row>
    <row r="12" spans="1:6" ht="12" customHeight="1">
      <c r="A12" s="9" t="s">
        <v>25</v>
      </c>
      <c r="B12" s="16" t="s">
        <v>26</v>
      </c>
      <c r="C12" s="17">
        <v>114198</v>
      </c>
      <c r="D12" s="17">
        <v>108000</v>
      </c>
      <c r="E12" s="17">
        <v>108000</v>
      </c>
      <c r="F12" s="18">
        <v>108000</v>
      </c>
    </row>
    <row r="13" spans="1:6" ht="12" customHeight="1">
      <c r="A13" s="9" t="s">
        <v>27</v>
      </c>
      <c r="B13" s="16" t="s">
        <v>28</v>
      </c>
      <c r="C13" s="17">
        <v>338425</v>
      </c>
      <c r="D13" s="17">
        <v>228094</v>
      </c>
      <c r="E13" s="17">
        <v>228094</v>
      </c>
      <c r="F13" s="18">
        <v>228094</v>
      </c>
    </row>
    <row r="14" spans="1:6" ht="12" customHeight="1">
      <c r="A14" s="9" t="s">
        <v>29</v>
      </c>
      <c r="B14" s="16" t="s">
        <v>30</v>
      </c>
      <c r="C14" s="17">
        <v>22558</v>
      </c>
      <c r="D14" s="17">
        <v>9790</v>
      </c>
      <c r="E14" s="17">
        <v>9790</v>
      </c>
      <c r="F14" s="18">
        <v>9790</v>
      </c>
    </row>
    <row r="15" spans="1:6" ht="12" customHeight="1">
      <c r="A15" s="9" t="s">
        <v>31</v>
      </c>
      <c r="B15" s="16" t="s">
        <v>32</v>
      </c>
      <c r="C15" s="17">
        <v>8449</v>
      </c>
      <c r="D15" s="17">
        <v>7000</v>
      </c>
      <c r="E15" s="17">
        <v>7000</v>
      </c>
      <c r="F15" s="18">
        <v>7000</v>
      </c>
    </row>
    <row r="16" spans="1:6" ht="12.75">
      <c r="A16" s="19" t="s">
        <v>33</v>
      </c>
      <c r="B16" s="16"/>
      <c r="C16" s="17"/>
      <c r="D16" s="17"/>
      <c r="E16" s="17"/>
      <c r="F16" s="18"/>
    </row>
    <row r="17" spans="1:6" ht="12" customHeight="1">
      <c r="A17" s="9" t="s">
        <v>34</v>
      </c>
      <c r="B17" s="13" t="s">
        <v>35</v>
      </c>
      <c r="C17" s="14">
        <v>2608423</v>
      </c>
      <c r="D17" s="14">
        <f>SUM(D18:D26)</f>
        <v>1556025</v>
      </c>
      <c r="E17" s="14">
        <f>SUM(E18:E26)</f>
        <v>2136636</v>
      </c>
      <c r="F17" s="15">
        <f>SUM(F18:F26)</f>
        <v>2446188</v>
      </c>
    </row>
    <row r="18" spans="1:6" ht="12" customHeight="1">
      <c r="A18" s="9" t="s">
        <v>36</v>
      </c>
      <c r="B18" s="16" t="s">
        <v>37</v>
      </c>
      <c r="C18" s="17">
        <v>1588042</v>
      </c>
      <c r="D18" s="17">
        <v>1404424</v>
      </c>
      <c r="E18" s="17">
        <f>1402743+14945</f>
        <v>1417688</v>
      </c>
      <c r="F18" s="18">
        <f>1402743+14945-18043</f>
        <v>1399645</v>
      </c>
    </row>
    <row r="19" spans="1:6" ht="12" customHeight="1">
      <c r="A19" s="9" t="s">
        <v>38</v>
      </c>
      <c r="B19" s="16" t="s">
        <v>39</v>
      </c>
      <c r="C19" s="17">
        <v>19258</v>
      </c>
      <c r="D19" s="17">
        <v>151601</v>
      </c>
      <c r="E19" s="17">
        <v>151592</v>
      </c>
      <c r="F19" s="18">
        <f>151592-2668</f>
        <v>148924</v>
      </c>
    </row>
    <row r="20" spans="1:6" ht="12" customHeight="1">
      <c r="A20" s="9" t="s">
        <v>40</v>
      </c>
      <c r="B20" s="16" t="s">
        <v>41</v>
      </c>
      <c r="C20" s="17">
        <v>248382</v>
      </c>
      <c r="D20" s="17"/>
      <c r="E20" s="17"/>
      <c r="F20" s="18"/>
    </row>
    <row r="21" spans="1:6" ht="12" customHeight="1">
      <c r="A21" s="9" t="s">
        <v>42</v>
      </c>
      <c r="B21" s="16" t="s">
        <v>43</v>
      </c>
      <c r="C21" s="17">
        <v>53500</v>
      </c>
      <c r="D21" s="17"/>
      <c r="E21" s="17">
        <v>55000</v>
      </c>
      <c r="F21" s="18">
        <v>55000</v>
      </c>
    </row>
    <row r="22" spans="1:6" ht="12" customHeight="1">
      <c r="A22" s="9" t="s">
        <v>44</v>
      </c>
      <c r="B22" s="16" t="s">
        <v>45</v>
      </c>
      <c r="C22" s="17">
        <v>272200</v>
      </c>
      <c r="D22" s="17"/>
      <c r="E22" s="17">
        <v>152750</v>
      </c>
      <c r="F22" s="18">
        <f>152750+99143+510</f>
        <v>252403</v>
      </c>
    </row>
    <row r="23" spans="1:6" ht="12" customHeight="1">
      <c r="A23" s="9" t="s">
        <v>46</v>
      </c>
      <c r="B23" s="16" t="s">
        <v>47</v>
      </c>
      <c r="C23" s="20">
        <v>68472</v>
      </c>
      <c r="D23" s="20"/>
      <c r="E23" s="20">
        <f>88869+40915+50958</f>
        <v>180742</v>
      </c>
      <c r="F23" s="21">
        <f>88869+40915+50958-39483-510</f>
        <v>140749</v>
      </c>
    </row>
    <row r="24" spans="1:6" ht="12" customHeight="1">
      <c r="A24" s="9" t="s">
        <v>48</v>
      </c>
      <c r="B24" s="16" t="s">
        <v>49</v>
      </c>
      <c r="C24" s="17">
        <v>1100</v>
      </c>
      <c r="D24" s="17"/>
      <c r="E24" s="17"/>
      <c r="F24" s="18"/>
    </row>
    <row r="25" spans="1:6" ht="12" customHeight="1">
      <c r="A25" s="9" t="s">
        <v>50</v>
      </c>
      <c r="B25" s="16" t="s">
        <v>51</v>
      </c>
      <c r="C25" s="17">
        <v>85312</v>
      </c>
      <c r="D25" s="17"/>
      <c r="E25" s="17">
        <v>57301</v>
      </c>
      <c r="F25" s="18">
        <f>57301-1925+39483+8045</f>
        <v>102904</v>
      </c>
    </row>
    <row r="26" spans="1:6" ht="12" customHeight="1">
      <c r="A26" s="9" t="s">
        <v>52</v>
      </c>
      <c r="B26" s="16" t="s">
        <v>53</v>
      </c>
      <c r="C26" s="17">
        <v>272157</v>
      </c>
      <c r="D26" s="17"/>
      <c r="E26" s="17">
        <v>121563</v>
      </c>
      <c r="F26" s="18">
        <f>121563+225000</f>
        <v>346563</v>
      </c>
    </row>
    <row r="27" spans="1:6" ht="12" customHeight="1">
      <c r="A27" s="9" t="s">
        <v>54</v>
      </c>
      <c r="B27" s="13" t="s">
        <v>55</v>
      </c>
      <c r="C27" s="14">
        <v>405782</v>
      </c>
      <c r="D27" s="14">
        <f>SUM(D28:D31)</f>
        <v>262585</v>
      </c>
      <c r="E27" s="14">
        <f>SUM(E28:E31)</f>
        <v>335961</v>
      </c>
      <c r="F27" s="15">
        <f>SUM(F28:F31)</f>
        <v>335961</v>
      </c>
    </row>
    <row r="28" spans="1:6" ht="12" customHeight="1">
      <c r="A28" s="9" t="s">
        <v>56</v>
      </c>
      <c r="B28" s="16" t="s">
        <v>57</v>
      </c>
      <c r="C28" s="17">
        <v>211184</v>
      </c>
      <c r="D28" s="17">
        <v>145051</v>
      </c>
      <c r="E28" s="17">
        <f>145051-60000+73</f>
        <v>85124</v>
      </c>
      <c r="F28" s="18">
        <f>145051-60000+73</f>
        <v>85124</v>
      </c>
    </row>
    <row r="29" spans="1:6" ht="12" customHeight="1">
      <c r="A29" s="9" t="s">
        <v>58</v>
      </c>
      <c r="B29" s="16" t="s">
        <v>59</v>
      </c>
      <c r="C29" s="17">
        <v>13004</v>
      </c>
      <c r="D29" s="17">
        <v>9060</v>
      </c>
      <c r="E29" s="17">
        <v>9060</v>
      </c>
      <c r="F29" s="18">
        <v>9060</v>
      </c>
    </row>
    <row r="30" spans="1:6" ht="12" customHeight="1">
      <c r="A30" s="9" t="s">
        <v>60</v>
      </c>
      <c r="B30" s="16" t="s">
        <v>61</v>
      </c>
      <c r="C30" s="17">
        <v>0</v>
      </c>
      <c r="D30" s="17"/>
      <c r="E30" s="17"/>
      <c r="F30" s="18"/>
    </row>
    <row r="31" spans="1:6" ht="12" customHeight="1">
      <c r="A31" s="9" t="s">
        <v>62</v>
      </c>
      <c r="B31" s="16" t="s">
        <v>63</v>
      </c>
      <c r="C31" s="17">
        <v>181594</v>
      </c>
      <c r="D31" s="17">
        <v>108474</v>
      </c>
      <c r="E31" s="17">
        <f>108474+133303</f>
        <v>241777</v>
      </c>
      <c r="F31" s="18">
        <f>108474+133303</f>
        <v>241777</v>
      </c>
    </row>
    <row r="32" spans="1:6" s="22" customFormat="1" ht="12" customHeight="1">
      <c r="A32" s="9" t="s">
        <v>64</v>
      </c>
      <c r="B32" s="13" t="s">
        <v>65</v>
      </c>
      <c r="C32" s="14">
        <v>4559861</v>
      </c>
      <c r="D32" s="14">
        <f>D33+D35</f>
        <v>4324268</v>
      </c>
      <c r="E32" s="14">
        <f>E33+E35</f>
        <v>1997477</v>
      </c>
      <c r="F32" s="15">
        <f>F33+F35</f>
        <v>1890289</v>
      </c>
    </row>
    <row r="33" spans="1:6" ht="12" customHeight="1">
      <c r="A33" s="9" t="s">
        <v>66</v>
      </c>
      <c r="B33" s="16" t="s">
        <v>67</v>
      </c>
      <c r="C33" s="17">
        <v>4346278</v>
      </c>
      <c r="D33" s="17">
        <v>4223811</v>
      </c>
      <c r="E33" s="20">
        <f>4086858+12149-2308721-4711+63-235+472</f>
        <v>1785875</v>
      </c>
      <c r="F33" s="21">
        <f>4086858+12149-2308721-4711+63-235+472-99143-8045</f>
        <v>1678687</v>
      </c>
    </row>
    <row r="34" spans="1:6" ht="12" customHeight="1">
      <c r="A34" s="9" t="s">
        <v>68</v>
      </c>
      <c r="B34" s="13" t="s">
        <v>212</v>
      </c>
      <c r="C34" s="17">
        <v>3895936</v>
      </c>
      <c r="D34" s="17">
        <v>3669587</v>
      </c>
      <c r="E34" s="17">
        <f>3669487+2500-2356974</f>
        <v>1315013</v>
      </c>
      <c r="F34" s="18">
        <f>3669487+2500-2356974</f>
        <v>1315013</v>
      </c>
    </row>
    <row r="35" spans="1:6" ht="12" customHeight="1">
      <c r="A35" s="9" t="s">
        <v>69</v>
      </c>
      <c r="B35" s="13" t="s">
        <v>213</v>
      </c>
      <c r="C35" s="17">
        <v>213583</v>
      </c>
      <c r="D35" s="17">
        <v>100457</v>
      </c>
      <c r="E35" s="20">
        <f>100457+24499+86646</f>
        <v>211602</v>
      </c>
      <c r="F35" s="21">
        <f>100457+24499+86646</f>
        <v>211602</v>
      </c>
    </row>
    <row r="36" spans="1:6" ht="12" customHeight="1">
      <c r="A36" s="9" t="s">
        <v>70</v>
      </c>
      <c r="B36" s="13" t="s">
        <v>212</v>
      </c>
      <c r="C36" s="17">
        <v>212419</v>
      </c>
      <c r="D36" s="17">
        <v>100000</v>
      </c>
      <c r="E36" s="17">
        <f>100000+77962</f>
        <v>177962</v>
      </c>
      <c r="F36" s="18">
        <f>100000+77962</f>
        <v>177962</v>
      </c>
    </row>
    <row r="37" spans="1:6" ht="12" customHeight="1">
      <c r="A37" s="9" t="s">
        <v>71</v>
      </c>
      <c r="B37" s="13" t="s">
        <v>72</v>
      </c>
      <c r="C37" s="14">
        <v>712218</v>
      </c>
      <c r="D37" s="14">
        <f>D38+D39</f>
        <v>915719</v>
      </c>
      <c r="E37" s="14">
        <f>E38+E39</f>
        <v>1100498</v>
      </c>
      <c r="F37" s="15">
        <f>F38+F39</f>
        <v>1100498</v>
      </c>
    </row>
    <row r="38" spans="1:6" ht="12" customHeight="1">
      <c r="A38" s="9" t="s">
        <v>73</v>
      </c>
      <c r="B38" s="16" t="s">
        <v>74</v>
      </c>
      <c r="C38" s="17">
        <v>74133</v>
      </c>
      <c r="D38" s="17"/>
      <c r="E38" s="17">
        <f>12910+263+17322</f>
        <v>30495</v>
      </c>
      <c r="F38" s="18">
        <f>12910+263+17322</f>
        <v>30495</v>
      </c>
    </row>
    <row r="39" spans="1:6" ht="12" customHeight="1">
      <c r="A39" s="9" t="s">
        <v>75</v>
      </c>
      <c r="B39" s="16" t="s">
        <v>76</v>
      </c>
      <c r="C39" s="17">
        <v>638085</v>
      </c>
      <c r="D39" s="17">
        <v>915719</v>
      </c>
      <c r="E39" s="17">
        <f>915719+149430+4854</f>
        <v>1070003</v>
      </c>
      <c r="F39" s="18">
        <f>915719+149430+4854</f>
        <v>1070003</v>
      </c>
    </row>
    <row r="40" spans="1:6" ht="12" customHeight="1">
      <c r="A40" s="9" t="s">
        <v>77</v>
      </c>
      <c r="B40" s="13" t="s">
        <v>78</v>
      </c>
      <c r="C40" s="14">
        <v>73280</v>
      </c>
      <c r="D40" s="14">
        <v>11000</v>
      </c>
      <c r="E40" s="14">
        <f>11000+58636-38636</f>
        <v>31000</v>
      </c>
      <c r="F40" s="15">
        <f>11000+58636-38636</f>
        <v>31000</v>
      </c>
    </row>
    <row r="41" spans="1:6" ht="12" customHeight="1" thickBot="1">
      <c r="A41" s="19" t="s">
        <v>79</v>
      </c>
      <c r="B41" s="23"/>
      <c r="C41" s="24"/>
      <c r="D41" s="24"/>
      <c r="E41" s="24"/>
      <c r="F41" s="25"/>
    </row>
    <row r="42" spans="1:6" ht="18.75" customHeight="1" thickBot="1">
      <c r="A42" s="9" t="s">
        <v>80</v>
      </c>
      <c r="B42" s="26" t="s">
        <v>81</v>
      </c>
      <c r="C42" s="27">
        <f>SUM(C5+C17+C27+C32+C37+C40)</f>
        <v>10340657</v>
      </c>
      <c r="D42" s="27">
        <f>SUM(D5+D17+D27+D32+D37+D40)</f>
        <v>8576620</v>
      </c>
      <c r="E42" s="27">
        <f>SUM(E5+E17+E27+E32+E37+E40)</f>
        <v>7125798</v>
      </c>
      <c r="F42" s="28">
        <f>SUM(F5+F17+F27+F32+F37+F40)</f>
        <v>7328162</v>
      </c>
    </row>
    <row r="43" spans="1:6" ht="12" customHeight="1">
      <c r="A43" s="9" t="s">
        <v>82</v>
      </c>
      <c r="B43" s="10" t="s">
        <v>83</v>
      </c>
      <c r="C43" s="11">
        <f>SUM(C44:C45)</f>
        <v>1135132</v>
      </c>
      <c r="D43" s="11">
        <f>SUM(D44:D45)</f>
        <v>1015888</v>
      </c>
      <c r="E43" s="11">
        <f>SUM(E44:E45)</f>
        <v>1480827</v>
      </c>
      <c r="F43" s="12">
        <f>SUM(F44:F45)</f>
        <v>1480827</v>
      </c>
    </row>
    <row r="44" spans="1:6" ht="12" customHeight="1">
      <c r="A44" s="9" t="s">
        <v>84</v>
      </c>
      <c r="B44" s="16" t="s">
        <v>85</v>
      </c>
      <c r="C44" s="17">
        <v>340927</v>
      </c>
      <c r="D44" s="17">
        <v>15888</v>
      </c>
      <c r="E44" s="29">
        <f>15888+175274</f>
        <v>191162</v>
      </c>
      <c r="F44" s="30">
        <f>15888+175274</f>
        <v>191162</v>
      </c>
    </row>
    <row r="45" spans="1:6" ht="12" customHeight="1">
      <c r="A45" s="9" t="s">
        <v>86</v>
      </c>
      <c r="B45" s="16" t="s">
        <v>87</v>
      </c>
      <c r="C45" s="17">
        <v>794205</v>
      </c>
      <c r="D45" s="17">
        <v>1000000</v>
      </c>
      <c r="E45" s="17">
        <v>1289665</v>
      </c>
      <c r="F45" s="18">
        <v>1289665</v>
      </c>
    </row>
    <row r="46" spans="1:6" ht="12" customHeight="1">
      <c r="A46" s="9" t="s">
        <v>88</v>
      </c>
      <c r="B46" s="16" t="s">
        <v>89</v>
      </c>
      <c r="C46" s="17"/>
      <c r="D46" s="17"/>
      <c r="E46" s="17"/>
      <c r="F46" s="18"/>
    </row>
    <row r="47" spans="1:6" ht="10.5" customHeight="1">
      <c r="A47" s="19" t="s">
        <v>90</v>
      </c>
      <c r="B47" s="16"/>
      <c r="C47" s="17"/>
      <c r="D47" s="17"/>
      <c r="E47" s="17"/>
      <c r="F47" s="18"/>
    </row>
    <row r="48" spans="1:6" ht="12" customHeight="1">
      <c r="A48" s="9" t="s">
        <v>91</v>
      </c>
      <c r="B48" s="13" t="s">
        <v>92</v>
      </c>
      <c r="C48" s="14">
        <f>SUM(C49:C50)</f>
        <v>0</v>
      </c>
      <c r="D48" s="14">
        <f>SUM(D49:D50)</f>
        <v>0</v>
      </c>
      <c r="E48" s="14">
        <f>SUM(E49:E50)</f>
        <v>0</v>
      </c>
      <c r="F48" s="15">
        <f>SUM(F49:F50)</f>
        <v>0</v>
      </c>
    </row>
    <row r="49" spans="1:6" ht="12" customHeight="1">
      <c r="A49" s="9" t="s">
        <v>93</v>
      </c>
      <c r="B49" s="16" t="s">
        <v>94</v>
      </c>
      <c r="C49" s="17"/>
      <c r="D49" s="17"/>
      <c r="E49" s="17"/>
      <c r="F49" s="18"/>
    </row>
    <row r="50" spans="1:6" ht="12" customHeight="1">
      <c r="A50" s="9" t="s">
        <v>95</v>
      </c>
      <c r="B50" s="16" t="s">
        <v>96</v>
      </c>
      <c r="C50" s="17"/>
      <c r="D50" s="17"/>
      <c r="E50" s="17"/>
      <c r="F50" s="18"/>
    </row>
    <row r="51" spans="1:6" ht="12" customHeight="1">
      <c r="A51" s="9" t="s">
        <v>97</v>
      </c>
      <c r="B51" s="13" t="s">
        <v>98</v>
      </c>
      <c r="C51" s="14"/>
      <c r="D51" s="14"/>
      <c r="E51" s="14"/>
      <c r="F51" s="15"/>
    </row>
    <row r="52" spans="1:6" ht="12" customHeight="1">
      <c r="A52" s="9" t="s">
        <v>99</v>
      </c>
      <c r="B52" s="13" t="s">
        <v>100</v>
      </c>
      <c r="C52" s="14">
        <f>SUM(C53:C55)</f>
        <v>336728</v>
      </c>
      <c r="D52" s="14">
        <f>SUM(D53:D55)</f>
        <v>598457</v>
      </c>
      <c r="E52" s="14">
        <f>SUM(E53:E55)</f>
        <v>495980</v>
      </c>
      <c r="F52" s="15">
        <f>SUM(F53:F55)</f>
        <v>293616</v>
      </c>
    </row>
    <row r="53" spans="1:6" ht="12" customHeight="1">
      <c r="A53" s="9" t="s">
        <v>101</v>
      </c>
      <c r="B53" s="16" t="s">
        <v>102</v>
      </c>
      <c r="C53" s="17"/>
      <c r="D53" s="17"/>
      <c r="E53" s="31"/>
      <c r="F53" s="32"/>
    </row>
    <row r="54" spans="1:6" ht="12" customHeight="1">
      <c r="A54" s="9" t="s">
        <v>103</v>
      </c>
      <c r="B54" s="16" t="s">
        <v>104</v>
      </c>
      <c r="C54" s="17">
        <v>336728</v>
      </c>
      <c r="D54" s="17">
        <v>598457</v>
      </c>
      <c r="E54" s="20">
        <f>332564+141844+18000+2867+705</f>
        <v>495980</v>
      </c>
      <c r="F54" s="21">
        <f>332564+141844+18000+2867+705+20711-225000+1925</f>
        <v>293616</v>
      </c>
    </row>
    <row r="55" spans="1:6" ht="12" customHeight="1">
      <c r="A55" s="9" t="s">
        <v>105</v>
      </c>
      <c r="B55" s="16" t="s">
        <v>106</v>
      </c>
      <c r="C55" s="17"/>
      <c r="D55" s="17"/>
      <c r="E55" s="17"/>
      <c r="F55" s="18"/>
    </row>
    <row r="56" spans="1:6" ht="12" customHeight="1" thickBot="1">
      <c r="A56" s="9" t="s">
        <v>107</v>
      </c>
      <c r="B56" s="23" t="s">
        <v>108</v>
      </c>
      <c r="C56" s="24">
        <v>2994</v>
      </c>
      <c r="D56" s="24"/>
      <c r="E56" s="24"/>
      <c r="F56" s="25"/>
    </row>
    <row r="57" spans="1:6" ht="11.25" customHeight="1" thickBot="1">
      <c r="A57" s="19" t="s">
        <v>109</v>
      </c>
      <c r="B57" s="203"/>
      <c r="C57" s="204"/>
      <c r="D57" s="204"/>
      <c r="E57" s="205"/>
      <c r="F57" s="212"/>
    </row>
    <row r="58" spans="1:6" ht="18.75" customHeight="1" thickBot="1">
      <c r="A58" s="9" t="s">
        <v>110</v>
      </c>
      <c r="B58" s="51" t="s">
        <v>111</v>
      </c>
      <c r="C58" s="47">
        <f>SUM(C48+C51+C52+C56)</f>
        <v>339722</v>
      </c>
      <c r="D58" s="47">
        <f>SUM(D48+D51+D52+D56)</f>
        <v>598457</v>
      </c>
      <c r="E58" s="210">
        <f>SUM(E48+E51+E52+E56)</f>
        <v>495980</v>
      </c>
      <c r="F58" s="211">
        <f>SUM(F48+F51+F52+F56)</f>
        <v>293616</v>
      </c>
    </row>
    <row r="59" spans="1:6" ht="18.75" customHeight="1" thickBot="1">
      <c r="A59" s="34" t="s">
        <v>112</v>
      </c>
      <c r="B59" s="35" t="s">
        <v>113</v>
      </c>
      <c r="C59" s="36">
        <f>SUM(C42+C43+C58)</f>
        <v>11815511</v>
      </c>
      <c r="D59" s="36">
        <f>SUM(D42+D43+D58)</f>
        <v>10190965</v>
      </c>
      <c r="E59" s="36">
        <f>SUM(E42+E43+E58)</f>
        <v>9102605</v>
      </c>
      <c r="F59" s="37">
        <f>SUM(F42+F43+F58)</f>
        <v>9102605</v>
      </c>
    </row>
    <row r="60" spans="1:4" ht="12.75">
      <c r="A60" s="38"/>
      <c r="C60" s="39"/>
      <c r="D60" s="39"/>
    </row>
    <row r="61" spans="1:6" ht="15">
      <c r="A61" s="215" t="s">
        <v>114</v>
      </c>
      <c r="B61" s="215"/>
      <c r="C61" s="215"/>
      <c r="D61" s="215"/>
      <c r="E61" s="1"/>
      <c r="F61" s="1"/>
    </row>
    <row r="62" spans="1:4" ht="13.5" thickBot="1">
      <c r="A62" s="38"/>
      <c r="B62" s="40"/>
      <c r="C62" s="41"/>
      <c r="D62" s="41"/>
    </row>
    <row r="63" spans="1:6" ht="13.5" thickBot="1">
      <c r="A63" s="3"/>
      <c r="B63" s="4" t="s">
        <v>1</v>
      </c>
      <c r="C63" s="5" t="s">
        <v>2</v>
      </c>
      <c r="D63" s="5" t="s">
        <v>3</v>
      </c>
      <c r="E63" s="5" t="s">
        <v>6</v>
      </c>
      <c r="F63" s="6" t="s">
        <v>215</v>
      </c>
    </row>
    <row r="64" spans="1:6" ht="35.25" customHeight="1" thickBot="1">
      <c r="A64" s="42"/>
      <c r="B64" s="206" t="s">
        <v>115</v>
      </c>
      <c r="C64" s="207" t="s">
        <v>116</v>
      </c>
      <c r="D64" s="207" t="s">
        <v>9</v>
      </c>
      <c r="E64" s="208" t="s">
        <v>10</v>
      </c>
      <c r="F64" s="209" t="s">
        <v>311</v>
      </c>
    </row>
    <row r="65" spans="1:6" ht="12.75">
      <c r="A65" s="43" t="s">
        <v>117</v>
      </c>
      <c r="B65" s="10" t="s">
        <v>118</v>
      </c>
      <c r="C65" s="11">
        <f>SUM(C66:C71)</f>
        <v>8123020</v>
      </c>
      <c r="D65" s="11">
        <f>SUM(D66:D69)</f>
        <v>7544176</v>
      </c>
      <c r="E65" s="11">
        <f>SUM(E66:E69)</f>
        <v>5883407</v>
      </c>
      <c r="F65" s="12">
        <f>SUM(F66:F69)</f>
        <v>5883407</v>
      </c>
    </row>
    <row r="66" spans="1:6" ht="12.75">
      <c r="A66" s="9" t="s">
        <v>119</v>
      </c>
      <c r="B66" s="16" t="s">
        <v>120</v>
      </c>
      <c r="C66" s="17">
        <v>3000667</v>
      </c>
      <c r="D66" s="17">
        <v>2239102</v>
      </c>
      <c r="E66" s="17">
        <f>2332498+136585+91777</f>
        <v>2560860</v>
      </c>
      <c r="F66" s="18">
        <f>2332498+136585+91777</f>
        <v>2560860</v>
      </c>
    </row>
    <row r="67" spans="1:6" ht="12.75">
      <c r="A67" s="9" t="s">
        <v>121</v>
      </c>
      <c r="B67" s="16" t="s">
        <v>122</v>
      </c>
      <c r="C67" s="17">
        <v>3846024</v>
      </c>
      <c r="D67" s="17">
        <v>3729087</v>
      </c>
      <c r="E67" s="17">
        <f>3757348+1840-2276347</f>
        <v>1482841</v>
      </c>
      <c r="F67" s="18">
        <f>3757348+1840-2276347</f>
        <v>1482841</v>
      </c>
    </row>
    <row r="68" spans="1:6" ht="12.75">
      <c r="A68" s="9" t="s">
        <v>123</v>
      </c>
      <c r="B68" s="16" t="s">
        <v>124</v>
      </c>
      <c r="C68" s="17"/>
      <c r="D68" s="17">
        <v>762893</v>
      </c>
      <c r="E68" s="20">
        <f>730449+79404+2000+6266-38636-4711+63-235+472-924+2867</f>
        <v>777015</v>
      </c>
      <c r="F68" s="21">
        <f>730449+79404+2000+6266-38636-4711+63-235+472-924+2867</f>
        <v>777015</v>
      </c>
    </row>
    <row r="69" spans="1:6" ht="12.75">
      <c r="A69" s="9" t="s">
        <v>125</v>
      </c>
      <c r="B69" s="16" t="s">
        <v>126</v>
      </c>
      <c r="C69" s="17">
        <v>1273440</v>
      </c>
      <c r="D69" s="17">
        <v>813094</v>
      </c>
      <c r="E69" s="17">
        <f>983312+27106+16000+35568+705</f>
        <v>1062691</v>
      </c>
      <c r="F69" s="18">
        <f>983312+27106+16000+35568+705</f>
        <v>1062691</v>
      </c>
    </row>
    <row r="70" spans="1:6" ht="12.75">
      <c r="A70" s="9" t="s">
        <v>127</v>
      </c>
      <c r="B70" s="16" t="s">
        <v>128</v>
      </c>
      <c r="C70" s="17">
        <v>2268</v>
      </c>
      <c r="D70" s="17"/>
      <c r="E70" s="17"/>
      <c r="F70" s="18"/>
    </row>
    <row r="71" spans="1:6" ht="12.75">
      <c r="A71" s="9" t="s">
        <v>129</v>
      </c>
      <c r="B71" s="16" t="s">
        <v>130</v>
      </c>
      <c r="C71" s="17">
        <v>621</v>
      </c>
      <c r="D71" s="17"/>
      <c r="E71" s="17"/>
      <c r="F71" s="18"/>
    </row>
    <row r="72" spans="1:6" ht="11.25" customHeight="1">
      <c r="A72" s="9" t="s">
        <v>131</v>
      </c>
      <c r="B72" s="16" t="s">
        <v>132</v>
      </c>
      <c r="C72" s="17"/>
      <c r="D72" s="17"/>
      <c r="E72" s="17"/>
      <c r="F72" s="18"/>
    </row>
    <row r="73" spans="1:6" ht="12.75">
      <c r="A73" s="9" t="s">
        <v>133</v>
      </c>
      <c r="B73" s="16" t="s">
        <v>134</v>
      </c>
      <c r="C73" s="17">
        <v>4007730</v>
      </c>
      <c r="D73" s="17">
        <v>3960202</v>
      </c>
      <c r="E73" s="20">
        <f>3993470+63945-1201155</f>
        <v>2856260</v>
      </c>
      <c r="F73" s="21">
        <f>3993470+63945-1201155</f>
        <v>2856260</v>
      </c>
    </row>
    <row r="74" spans="1:6" ht="12.75">
      <c r="A74" s="9" t="s">
        <v>135</v>
      </c>
      <c r="B74" s="16" t="s">
        <v>136</v>
      </c>
      <c r="C74" s="17">
        <v>1035090</v>
      </c>
      <c r="D74" s="17">
        <v>1046459</v>
      </c>
      <c r="E74" s="20">
        <f>1054892+17261-324227</f>
        <v>747926</v>
      </c>
      <c r="F74" s="21">
        <f>1054892+17261-324227</f>
        <v>747926</v>
      </c>
    </row>
    <row r="75" spans="1:6" ht="12.75">
      <c r="A75" s="9" t="s">
        <v>137</v>
      </c>
      <c r="B75" s="16" t="s">
        <v>138</v>
      </c>
      <c r="C75" s="17">
        <v>73050</v>
      </c>
      <c r="D75" s="17">
        <v>26049</v>
      </c>
      <c r="E75" s="17">
        <f>28959+51771+26570-235+472</f>
        <v>107537</v>
      </c>
      <c r="F75" s="18">
        <f>28959+51771+26570-235+472</f>
        <v>107537</v>
      </c>
    </row>
    <row r="76" spans="1:6" ht="12.75">
      <c r="A76" s="9" t="s">
        <v>139</v>
      </c>
      <c r="B76" s="16" t="s">
        <v>140</v>
      </c>
      <c r="C76" s="17">
        <v>2519438</v>
      </c>
      <c r="D76" s="17">
        <v>2053583</v>
      </c>
      <c r="E76" s="20">
        <f>2260340+49494+1000-686243-924+2300+2867+705</f>
        <v>1629539</v>
      </c>
      <c r="F76" s="21">
        <f>2260340+49494+1000-686243-924+2300+2867+705</f>
        <v>1629539</v>
      </c>
    </row>
    <row r="77" spans="1:6" ht="12.75">
      <c r="A77" s="9" t="s">
        <v>141</v>
      </c>
      <c r="B77" s="16" t="s">
        <v>142</v>
      </c>
      <c r="C77" s="17">
        <v>10300</v>
      </c>
      <c r="D77" s="17"/>
      <c r="E77" s="17"/>
      <c r="F77" s="18"/>
    </row>
    <row r="78" spans="1:6" ht="12.75">
      <c r="A78" s="9" t="s">
        <v>143</v>
      </c>
      <c r="B78" s="16" t="s">
        <v>144</v>
      </c>
      <c r="C78" s="17">
        <v>37975</v>
      </c>
      <c r="D78" s="17">
        <v>60000</v>
      </c>
      <c r="E78" s="17">
        <v>62096</v>
      </c>
      <c r="F78" s="18">
        <v>62096</v>
      </c>
    </row>
    <row r="79" spans="1:6" ht="12.75">
      <c r="A79" s="9" t="s">
        <v>145</v>
      </c>
      <c r="B79" s="16" t="s">
        <v>146</v>
      </c>
      <c r="C79" s="17">
        <v>97368</v>
      </c>
      <c r="D79" s="17">
        <v>28523</v>
      </c>
      <c r="E79" s="17">
        <f>28902+21828-1000+20927</f>
        <v>70657</v>
      </c>
      <c r="F79" s="18">
        <f>28902+21828-1000+20927</f>
        <v>70657</v>
      </c>
    </row>
    <row r="80" spans="1:6" ht="12.75">
      <c r="A80" s="9" t="s">
        <v>147</v>
      </c>
      <c r="B80" s="44" t="s">
        <v>148</v>
      </c>
      <c r="C80" s="17">
        <v>342069</v>
      </c>
      <c r="D80" s="17">
        <v>369660</v>
      </c>
      <c r="E80" s="17">
        <f>374948+21392-4711+63-2300</f>
        <v>389392</v>
      </c>
      <c r="F80" s="18">
        <f>374948+21392-4711+63-2300</f>
        <v>389392</v>
      </c>
    </row>
    <row r="81" spans="1:6" ht="12.75">
      <c r="A81" s="9" t="s">
        <v>149</v>
      </c>
      <c r="B81" s="44" t="s">
        <v>150</v>
      </c>
      <c r="C81" s="17"/>
      <c r="D81" s="17"/>
      <c r="E81" s="20">
        <f>58636-38636</f>
        <v>20000</v>
      </c>
      <c r="F81" s="21">
        <f>58636-38636</f>
        <v>20000</v>
      </c>
    </row>
    <row r="82" spans="1:6" ht="12.75">
      <c r="A82" s="9" t="s">
        <v>151</v>
      </c>
      <c r="B82" s="44" t="s">
        <v>152</v>
      </c>
      <c r="C82" s="17"/>
      <c r="D82" s="17"/>
      <c r="E82" s="17"/>
      <c r="F82" s="18"/>
    </row>
    <row r="83" spans="1:6" ht="12.75">
      <c r="A83" s="9" t="s">
        <v>153</v>
      </c>
      <c r="B83" s="44" t="s">
        <v>154</v>
      </c>
      <c r="C83" s="17"/>
      <c r="D83" s="17"/>
      <c r="E83" s="17"/>
      <c r="F83" s="18"/>
    </row>
    <row r="84" spans="1:6" ht="12" customHeight="1">
      <c r="A84" s="9" t="s">
        <v>155</v>
      </c>
      <c r="B84" s="44"/>
      <c r="C84" s="17"/>
      <c r="D84" s="17"/>
      <c r="E84" s="17"/>
      <c r="F84" s="18"/>
    </row>
    <row r="85" spans="1:6" ht="12.75">
      <c r="A85" s="9" t="s">
        <v>156</v>
      </c>
      <c r="B85" s="13" t="s">
        <v>157</v>
      </c>
      <c r="C85" s="14">
        <f>SUM(C86:C92)</f>
        <v>1765622</v>
      </c>
      <c r="D85" s="14">
        <f>SUM(D86:D92)</f>
        <v>1413974</v>
      </c>
      <c r="E85" s="14">
        <f>SUM(E86:E92)</f>
        <v>1692472</v>
      </c>
      <c r="F85" s="15">
        <f>SUM(F86:F92)</f>
        <v>1692472</v>
      </c>
    </row>
    <row r="86" spans="1:6" ht="12.75">
      <c r="A86" s="9" t="s">
        <v>158</v>
      </c>
      <c r="B86" s="16" t="s">
        <v>159</v>
      </c>
      <c r="C86" s="17">
        <v>1585442</v>
      </c>
      <c r="D86" s="17">
        <v>927610</v>
      </c>
      <c r="E86" s="17">
        <f>1141892+1230+30000</f>
        <v>1173122</v>
      </c>
      <c r="F86" s="18">
        <f>1141892+1230+30000</f>
        <v>1173122</v>
      </c>
    </row>
    <row r="87" spans="1:6" ht="12.75">
      <c r="A87" s="9" t="s">
        <v>160</v>
      </c>
      <c r="B87" s="16" t="s">
        <v>161</v>
      </c>
      <c r="C87" s="17">
        <v>72134</v>
      </c>
      <c r="D87" s="17">
        <v>411364</v>
      </c>
      <c r="E87" s="17">
        <f>411364-30000</f>
        <v>381364</v>
      </c>
      <c r="F87" s="18">
        <f>411364-30000</f>
        <v>381364</v>
      </c>
    </row>
    <row r="88" spans="1:6" ht="12.75">
      <c r="A88" s="9" t="s">
        <v>162</v>
      </c>
      <c r="B88" s="44" t="s">
        <v>163</v>
      </c>
      <c r="C88" s="17">
        <v>95886</v>
      </c>
      <c r="D88" s="17">
        <v>70000</v>
      </c>
      <c r="E88" s="17">
        <v>70000</v>
      </c>
      <c r="F88" s="18">
        <v>70000</v>
      </c>
    </row>
    <row r="89" spans="1:6" ht="12.75">
      <c r="A89" s="9" t="s">
        <v>164</v>
      </c>
      <c r="B89" s="16" t="s">
        <v>165</v>
      </c>
      <c r="C89" s="17">
        <v>2287</v>
      </c>
      <c r="D89" s="17"/>
      <c r="E89" s="17">
        <f>4750</f>
        <v>4750</v>
      </c>
      <c r="F89" s="18">
        <f>4750</f>
        <v>4750</v>
      </c>
    </row>
    <row r="90" spans="1:6" ht="12.75">
      <c r="A90" s="9" t="s">
        <v>166</v>
      </c>
      <c r="B90" s="44" t="s">
        <v>167</v>
      </c>
      <c r="C90" s="17">
        <v>1800</v>
      </c>
      <c r="D90" s="17">
        <v>5000</v>
      </c>
      <c r="E90" s="17">
        <v>5000</v>
      </c>
      <c r="F90" s="18">
        <v>5000</v>
      </c>
    </row>
    <row r="91" spans="1:6" ht="12.75">
      <c r="A91" s="9" t="s">
        <v>168</v>
      </c>
      <c r="B91" s="16" t="s">
        <v>169</v>
      </c>
      <c r="C91" s="17">
        <v>8073</v>
      </c>
      <c r="D91" s="17"/>
      <c r="E91" s="17"/>
      <c r="F91" s="18"/>
    </row>
    <row r="92" spans="1:6" ht="12.75">
      <c r="A92" s="9" t="s">
        <v>170</v>
      </c>
      <c r="B92" s="44" t="s">
        <v>171</v>
      </c>
      <c r="C92" s="17"/>
      <c r="D92" s="17"/>
      <c r="E92" s="17">
        <f>19500+100+38636</f>
        <v>58236</v>
      </c>
      <c r="F92" s="18">
        <f>19500+100+38636</f>
        <v>58236</v>
      </c>
    </row>
    <row r="93" spans="1:6" ht="12.75">
      <c r="A93" s="9" t="s">
        <v>172</v>
      </c>
      <c r="B93" s="44" t="s">
        <v>173</v>
      </c>
      <c r="C93" s="17"/>
      <c r="D93" s="17"/>
      <c r="E93" s="17"/>
      <c r="F93" s="18"/>
    </row>
    <row r="94" spans="1:6" ht="11.25" customHeight="1">
      <c r="A94" s="9" t="s">
        <v>174</v>
      </c>
      <c r="B94" s="44"/>
      <c r="C94" s="17"/>
      <c r="D94" s="17"/>
      <c r="E94" s="17"/>
      <c r="F94" s="18"/>
    </row>
    <row r="95" spans="1:6" ht="12.75">
      <c r="A95" s="9" t="s">
        <v>175</v>
      </c>
      <c r="B95" s="13" t="s">
        <v>176</v>
      </c>
      <c r="C95" s="14">
        <f>C96+C97+C99</f>
        <v>0</v>
      </c>
      <c r="D95" s="14">
        <f>SUM(D96:D98)</f>
        <v>754236</v>
      </c>
      <c r="E95" s="14">
        <f>SUM(E96:E98)</f>
        <v>1048447</v>
      </c>
      <c r="F95" s="15">
        <f>SUM(F96:F98)</f>
        <v>1048447</v>
      </c>
    </row>
    <row r="96" spans="1:6" ht="12.75">
      <c r="A96" s="9" t="s">
        <v>177</v>
      </c>
      <c r="B96" s="16" t="s">
        <v>178</v>
      </c>
      <c r="C96" s="17"/>
      <c r="D96" s="17"/>
      <c r="E96" s="17"/>
      <c r="F96" s="18"/>
    </row>
    <row r="97" spans="1:6" ht="12.75">
      <c r="A97" s="9" t="s">
        <v>179</v>
      </c>
      <c r="B97" s="16" t="s">
        <v>180</v>
      </c>
      <c r="C97" s="17"/>
      <c r="D97" s="17">
        <v>20000</v>
      </c>
      <c r="E97" s="17">
        <v>20000</v>
      </c>
      <c r="F97" s="18">
        <v>20000</v>
      </c>
    </row>
    <row r="98" spans="1:6" ht="12.75">
      <c r="A98" s="9" t="s">
        <v>181</v>
      </c>
      <c r="B98" s="16" t="s">
        <v>182</v>
      </c>
      <c r="C98" s="17"/>
      <c r="D98" s="17">
        <v>734236</v>
      </c>
      <c r="E98" s="17">
        <f>1023901+103652-99006-100</f>
        <v>1028447</v>
      </c>
      <c r="F98" s="18">
        <f>1023901+103652-99006-100</f>
        <v>1028447</v>
      </c>
    </row>
    <row r="99" spans="1:6" ht="13.5" thickBot="1">
      <c r="A99" s="9" t="s">
        <v>183</v>
      </c>
      <c r="B99" s="23" t="s">
        <v>184</v>
      </c>
      <c r="C99" s="45"/>
      <c r="D99" s="45"/>
      <c r="E99" s="45"/>
      <c r="F99" s="46"/>
    </row>
    <row r="100" spans="1:6" ht="18.75" customHeight="1" thickBot="1">
      <c r="A100" s="9" t="s">
        <v>185</v>
      </c>
      <c r="B100" s="26" t="s">
        <v>186</v>
      </c>
      <c r="C100" s="47">
        <f>SUM(C65+C85+C95+C99)</f>
        <v>9888642</v>
      </c>
      <c r="D100" s="47">
        <f>SUM(D65+D85+D95+D99)</f>
        <v>9712386</v>
      </c>
      <c r="E100" s="47">
        <f>SUM(E65+E85+E95+E99)</f>
        <v>8624326</v>
      </c>
      <c r="F100" s="48">
        <f>SUM(F65+F85+F95+F99)</f>
        <v>8624326</v>
      </c>
    </row>
    <row r="101" spans="1:6" ht="12.75">
      <c r="A101" s="9" t="s">
        <v>187</v>
      </c>
      <c r="B101" s="10" t="s">
        <v>188</v>
      </c>
      <c r="C101" s="11">
        <f>SUM(C102:C105)</f>
        <v>617154</v>
      </c>
      <c r="D101" s="11">
        <f>SUM(D102:D105)</f>
        <v>478279</v>
      </c>
      <c r="E101" s="11">
        <f>SUM(E102:E107)</f>
        <v>478279</v>
      </c>
      <c r="F101" s="12">
        <f>SUM(F102:F107)</f>
        <v>478279</v>
      </c>
    </row>
    <row r="102" spans="1:6" ht="12.75">
      <c r="A102" s="9" t="s">
        <v>189</v>
      </c>
      <c r="B102" s="16" t="s">
        <v>190</v>
      </c>
      <c r="C102" s="17">
        <v>90941</v>
      </c>
      <c r="D102" s="17">
        <v>141551</v>
      </c>
      <c r="E102" s="17">
        <v>141551</v>
      </c>
      <c r="F102" s="18">
        <v>141551</v>
      </c>
    </row>
    <row r="103" spans="1:6" ht="12.75">
      <c r="A103" s="9" t="s">
        <v>191</v>
      </c>
      <c r="B103" s="16" t="s">
        <v>192</v>
      </c>
      <c r="C103" s="17">
        <v>163637</v>
      </c>
      <c r="D103" s="17">
        <v>100000</v>
      </c>
      <c r="E103" s="17">
        <v>336728</v>
      </c>
      <c r="F103" s="18">
        <f>336728</f>
        <v>336728</v>
      </c>
    </row>
    <row r="104" spans="1:6" ht="12.75">
      <c r="A104" s="9" t="s">
        <v>193</v>
      </c>
      <c r="B104" s="16" t="s">
        <v>194</v>
      </c>
      <c r="C104" s="17">
        <v>362576</v>
      </c>
      <c r="D104" s="17">
        <v>236728</v>
      </c>
      <c r="E104" s="17"/>
      <c r="F104" s="18"/>
    </row>
    <row r="105" spans="1:6" ht="12.75" customHeight="1">
      <c r="A105" s="9" t="s">
        <v>195</v>
      </c>
      <c r="B105" s="49" t="s">
        <v>196</v>
      </c>
      <c r="C105" s="17"/>
      <c r="D105" s="17"/>
      <c r="E105" s="17"/>
      <c r="F105" s="18"/>
    </row>
    <row r="106" spans="1:6" ht="12.75">
      <c r="A106" s="9" t="s">
        <v>197</v>
      </c>
      <c r="B106" s="44" t="s">
        <v>198</v>
      </c>
      <c r="C106" s="17"/>
      <c r="D106" s="17"/>
      <c r="E106" s="17"/>
      <c r="F106" s="18"/>
    </row>
    <row r="107" spans="1:6" ht="12.75">
      <c r="A107" s="9" t="s">
        <v>199</v>
      </c>
      <c r="B107" s="44" t="s">
        <v>200</v>
      </c>
      <c r="C107" s="17"/>
      <c r="D107" s="17"/>
      <c r="E107" s="17"/>
      <c r="F107" s="18"/>
    </row>
    <row r="108" spans="1:6" ht="13.5" thickBot="1">
      <c r="A108" s="9" t="s">
        <v>201</v>
      </c>
      <c r="B108" s="23" t="s">
        <v>202</v>
      </c>
      <c r="C108" s="50">
        <v>287683</v>
      </c>
      <c r="D108" s="50"/>
      <c r="E108" s="24"/>
      <c r="F108" s="25"/>
    </row>
    <row r="109" spans="1:6" ht="18.75" customHeight="1" thickBot="1">
      <c r="A109" s="9" t="s">
        <v>203</v>
      </c>
      <c r="B109" s="51" t="s">
        <v>204</v>
      </c>
      <c r="C109" s="52">
        <f>SUM(C101+C105+C108)</f>
        <v>904837</v>
      </c>
      <c r="D109" s="52">
        <f>SUM(D101+D105+D108)</f>
        <v>478279</v>
      </c>
      <c r="E109" s="52">
        <f>SUM(E101+E105+E108)</f>
        <v>478279</v>
      </c>
      <c r="F109" s="53">
        <f>SUM(F101+F105+F108)</f>
        <v>478279</v>
      </c>
    </row>
    <row r="110" spans="1:6" ht="18.75" customHeight="1" thickBot="1">
      <c r="A110" s="9" t="s">
        <v>205</v>
      </c>
      <c r="B110" s="54" t="s">
        <v>206</v>
      </c>
      <c r="C110" s="36">
        <f>SUM(C100+C109)</f>
        <v>10793479</v>
      </c>
      <c r="D110" s="36">
        <f>SUM(D100+D109)</f>
        <v>10190665</v>
      </c>
      <c r="E110" s="36">
        <f>SUM(E100+E109)</f>
        <v>9102605</v>
      </c>
      <c r="F110" s="37">
        <f>SUM(F100+F109)</f>
        <v>9102605</v>
      </c>
    </row>
    <row r="111" spans="1:6" ht="13.5" thickBot="1">
      <c r="A111" s="9" t="s">
        <v>207</v>
      </c>
      <c r="B111" s="55"/>
      <c r="C111" s="56"/>
      <c r="D111" s="56"/>
      <c r="E111" s="56"/>
      <c r="F111" s="57"/>
    </row>
    <row r="112" spans="1:6" ht="18.75" customHeight="1" thickBot="1">
      <c r="A112" s="9" t="s">
        <v>208</v>
      </c>
      <c r="B112" s="58" t="s">
        <v>209</v>
      </c>
      <c r="C112" s="59">
        <f>SUM(C42-C100)</f>
        <v>452015</v>
      </c>
      <c r="D112" s="59">
        <f>SUM(D42-D100)</f>
        <v>-1135766</v>
      </c>
      <c r="E112" s="59">
        <f>SUM(E42-E100)</f>
        <v>-1498528</v>
      </c>
      <c r="F112" s="60">
        <f>SUM(F42-F100)</f>
        <v>-1296164</v>
      </c>
    </row>
    <row r="113" spans="1:6" ht="18.75" customHeight="1" thickBot="1">
      <c r="A113" s="9" t="s">
        <v>210</v>
      </c>
      <c r="B113" s="61" t="s">
        <v>211</v>
      </c>
      <c r="C113" s="59">
        <f>SUM(C58-C109)</f>
        <v>-565115</v>
      </c>
      <c r="D113" s="59">
        <f>SUM(D58-D109)</f>
        <v>120178</v>
      </c>
      <c r="E113" s="59">
        <f>SUM(E58-E109)</f>
        <v>17701</v>
      </c>
      <c r="F113" s="60">
        <f>SUM(F58-F109)</f>
        <v>-184663</v>
      </c>
    </row>
  </sheetData>
  <mergeCells count="2">
    <mergeCell ref="A1:D1"/>
    <mergeCell ref="A61:D61"/>
  </mergeCells>
  <printOptions horizontalCentered="1" verticalCentered="1"/>
  <pageMargins left="0.2" right="0.17" top="0.7874015748031497" bottom="0.4724409448818898" header="0.3937007874015748" footer="0.07874015748031496"/>
  <pageSetup horizontalDpi="600" verticalDpi="600" orientation="portrait" scale="95" r:id="rId1"/>
  <headerFooter alignWithMargins="0">
    <oddHeader>&amp;L 1. melléklet a .../...(....) önkormányzati rendelethez&amp;C&amp;"Arial CE,Félkövér"&amp;11
2012. évi költségvetés  pénzügyi mérlege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workbookViewId="0" topLeftCell="A1">
      <pane xSplit="2" ySplit="4" topLeftCell="D5" activePane="bottomRight" state="frozen"/>
      <selection pane="topLeft" activeCell="J38" sqref="J37:J38"/>
      <selection pane="topRight" activeCell="J38" sqref="J37:J38"/>
      <selection pane="bottomLeft" activeCell="J38" sqref="J37:J38"/>
      <selection pane="bottomRight" activeCell="B39" sqref="B39"/>
    </sheetView>
  </sheetViews>
  <sheetFormatPr defaultColWidth="9.00390625" defaultRowHeight="12.75"/>
  <cols>
    <col min="1" max="1" width="3.25390625" style="62" customWidth="1"/>
    <col min="2" max="2" width="26.125" style="62" customWidth="1"/>
    <col min="3" max="3" width="9.625" style="62" hidden="1" customWidth="1"/>
    <col min="4" max="4" width="8.75390625" style="62" customWidth="1"/>
    <col min="5" max="5" width="8.625" style="62" customWidth="1"/>
    <col min="6" max="6" width="9.375" style="62" bestFit="1" customWidth="1"/>
    <col min="7" max="7" width="9.375" style="62" customWidth="1"/>
    <col min="8" max="8" width="27.25390625" style="62" customWidth="1"/>
    <col min="9" max="9" width="0" style="62" hidden="1" customWidth="1"/>
    <col min="10" max="16384" width="9.125" style="62" customWidth="1"/>
  </cols>
  <sheetData>
    <row r="2" ht="12.75" customHeight="1" thickBot="1"/>
    <row r="3" spans="1:13" ht="12.75" customHeight="1" thickBot="1">
      <c r="A3" s="63"/>
      <c r="B3" s="64" t="s">
        <v>1</v>
      </c>
      <c r="C3" s="65" t="s">
        <v>2</v>
      </c>
      <c r="D3" s="65" t="s">
        <v>2</v>
      </c>
      <c r="E3" s="65" t="s">
        <v>3</v>
      </c>
      <c r="F3" s="65" t="s">
        <v>4</v>
      </c>
      <c r="G3" s="66" t="s">
        <v>5</v>
      </c>
      <c r="H3" s="64" t="s">
        <v>6</v>
      </c>
      <c r="I3" s="65" t="s">
        <v>214</v>
      </c>
      <c r="J3" s="65" t="s">
        <v>215</v>
      </c>
      <c r="K3" s="65" t="s">
        <v>216</v>
      </c>
      <c r="L3" s="65" t="s">
        <v>214</v>
      </c>
      <c r="M3" s="66" t="s">
        <v>217</v>
      </c>
    </row>
    <row r="4" spans="1:13" s="223" customFormat="1" ht="35.25" customHeight="1" thickBot="1">
      <c r="A4" s="219"/>
      <c r="B4" s="220" t="s">
        <v>218</v>
      </c>
      <c r="C4" s="199" t="s">
        <v>219</v>
      </c>
      <c r="D4" s="199" t="s">
        <v>8</v>
      </c>
      <c r="E4" s="199" t="s">
        <v>220</v>
      </c>
      <c r="F4" s="199" t="s">
        <v>10</v>
      </c>
      <c r="G4" s="221" t="s">
        <v>311</v>
      </c>
      <c r="H4" s="222" t="s">
        <v>221</v>
      </c>
      <c r="I4" s="199" t="s">
        <v>219</v>
      </c>
      <c r="J4" s="199" t="s">
        <v>8</v>
      </c>
      <c r="K4" s="199" t="s">
        <v>220</v>
      </c>
      <c r="L4" s="199" t="s">
        <v>10</v>
      </c>
      <c r="M4" s="221" t="s">
        <v>311</v>
      </c>
    </row>
    <row r="5" spans="1:13" ht="12" customHeight="1">
      <c r="A5" s="67" t="s">
        <v>11</v>
      </c>
      <c r="B5" s="68" t="s">
        <v>222</v>
      </c>
      <c r="C5" s="69">
        <f>541570-3939</f>
        <v>537631</v>
      </c>
      <c r="D5" s="69">
        <v>604339</v>
      </c>
      <c r="E5" s="69">
        <v>282639</v>
      </c>
      <c r="F5" s="69">
        <f>299915-73</f>
        <v>299842</v>
      </c>
      <c r="G5" s="69">
        <f>299915-73</f>
        <v>299842</v>
      </c>
      <c r="H5" s="68" t="s">
        <v>223</v>
      </c>
      <c r="I5" s="69">
        <v>4191497</v>
      </c>
      <c r="J5" s="69">
        <v>4007730</v>
      </c>
      <c r="K5" s="33">
        <v>3960202</v>
      </c>
      <c r="L5" s="33">
        <v>2856260</v>
      </c>
      <c r="M5" s="70">
        <v>2856260</v>
      </c>
    </row>
    <row r="6" spans="1:13" ht="12" customHeight="1">
      <c r="A6" s="67" t="s">
        <v>13</v>
      </c>
      <c r="B6" s="71" t="s">
        <v>224</v>
      </c>
      <c r="C6" s="72">
        <v>1359069</v>
      </c>
      <c r="D6" s="72">
        <v>1376754</v>
      </c>
      <c r="E6" s="72">
        <v>1224384</v>
      </c>
      <c r="F6" s="72">
        <v>1224384</v>
      </c>
      <c r="G6" s="72">
        <v>1224384</v>
      </c>
      <c r="H6" s="71" t="s">
        <v>225</v>
      </c>
      <c r="I6" s="72">
        <v>1224632</v>
      </c>
      <c r="J6" s="72">
        <v>1035090</v>
      </c>
      <c r="K6" s="17">
        <v>1046459</v>
      </c>
      <c r="L6" s="17">
        <v>747926</v>
      </c>
      <c r="M6" s="18">
        <v>747926</v>
      </c>
    </row>
    <row r="7" spans="1:13" ht="12" customHeight="1">
      <c r="A7" s="67" t="s">
        <v>15</v>
      </c>
      <c r="B7" s="71" t="s">
        <v>226</v>
      </c>
      <c r="C7" s="72">
        <f>2828998-4889-21637</f>
        <v>2802472</v>
      </c>
      <c r="D7" s="72">
        <v>2608423</v>
      </c>
      <c r="E7" s="72">
        <v>1556025</v>
      </c>
      <c r="F7" s="72">
        <f>2136636-9208-10000-512-400-924-1230</f>
        <v>2114362</v>
      </c>
      <c r="G7" s="72">
        <f>2136636-9208-10000-512-400-924-1230-20711+225000-1925+99143+8045</f>
        <v>2423914</v>
      </c>
      <c r="H7" s="71" t="s">
        <v>227</v>
      </c>
      <c r="I7" s="72">
        <f>2401761-33197</f>
        <v>2368564</v>
      </c>
      <c r="J7" s="72">
        <v>2519438</v>
      </c>
      <c r="K7" s="17">
        <v>2053583</v>
      </c>
      <c r="L7" s="17">
        <f>1628834+705</f>
        <v>1629539</v>
      </c>
      <c r="M7" s="18">
        <f>1628834+705</f>
        <v>1629539</v>
      </c>
    </row>
    <row r="8" spans="1:13" ht="12" customHeight="1">
      <c r="A8" s="67" t="s">
        <v>17</v>
      </c>
      <c r="B8" s="71" t="s">
        <v>228</v>
      </c>
      <c r="C8" s="72">
        <v>3881541</v>
      </c>
      <c r="D8" s="72">
        <v>4346278</v>
      </c>
      <c r="E8" s="72">
        <v>4223811</v>
      </c>
      <c r="F8" s="20">
        <f>1790286-4711+63-235+472</f>
        <v>1785875</v>
      </c>
      <c r="G8" s="20">
        <f>1790286-4711+63-235+472-99143-8045</f>
        <v>1678687</v>
      </c>
      <c r="H8" s="200" t="s">
        <v>229</v>
      </c>
      <c r="I8" s="72">
        <v>17768</v>
      </c>
      <c r="J8" s="72">
        <v>10300</v>
      </c>
      <c r="K8" s="17"/>
      <c r="L8" s="17"/>
      <c r="M8" s="18"/>
    </row>
    <row r="9" spans="1:13" ht="12" customHeight="1">
      <c r="A9" s="67" t="s">
        <v>19</v>
      </c>
      <c r="B9" s="71" t="s">
        <v>230</v>
      </c>
      <c r="C9" s="72">
        <v>193785</v>
      </c>
      <c r="D9" s="72">
        <v>74133</v>
      </c>
      <c r="E9" s="72"/>
      <c r="F9" s="72">
        <v>30495</v>
      </c>
      <c r="G9" s="72">
        <v>30495</v>
      </c>
      <c r="H9" s="71" t="s">
        <v>231</v>
      </c>
      <c r="I9" s="72">
        <v>91110</v>
      </c>
      <c r="J9" s="72">
        <v>37975</v>
      </c>
      <c r="K9" s="17">
        <v>60000</v>
      </c>
      <c r="L9" s="17">
        <v>62096</v>
      </c>
      <c r="M9" s="18">
        <v>62096</v>
      </c>
    </row>
    <row r="10" spans="1:13" ht="12" customHeight="1">
      <c r="A10" s="67" t="s">
        <v>21</v>
      </c>
      <c r="B10" s="71" t="s">
        <v>232</v>
      </c>
      <c r="C10" s="72"/>
      <c r="D10" s="72">
        <v>66973</v>
      </c>
      <c r="E10" s="72"/>
      <c r="F10" s="72">
        <v>20000</v>
      </c>
      <c r="G10" s="72">
        <v>20000</v>
      </c>
      <c r="H10" s="71" t="s">
        <v>233</v>
      </c>
      <c r="I10" s="72">
        <v>58452</v>
      </c>
      <c r="J10" s="72">
        <v>73050</v>
      </c>
      <c r="K10" s="17">
        <v>26049</v>
      </c>
      <c r="L10" s="72">
        <f>107300-235+472</f>
        <v>107537</v>
      </c>
      <c r="M10" s="73">
        <f>107300-235+472</f>
        <v>107537</v>
      </c>
    </row>
    <row r="11" spans="1:13" ht="12" customHeight="1">
      <c r="A11" s="67" t="s">
        <v>23</v>
      </c>
      <c r="B11" s="71"/>
      <c r="C11" s="72"/>
      <c r="D11" s="72"/>
      <c r="E11" s="72"/>
      <c r="F11" s="72"/>
      <c r="G11" s="72"/>
      <c r="H11" s="71" t="s">
        <v>234</v>
      </c>
      <c r="I11" s="72">
        <f>154890-128247</f>
        <v>26643</v>
      </c>
      <c r="J11" s="72">
        <v>97368</v>
      </c>
      <c r="K11" s="17">
        <v>28523</v>
      </c>
      <c r="L11" s="72">
        <v>70657</v>
      </c>
      <c r="M11" s="73">
        <v>70657</v>
      </c>
    </row>
    <row r="12" spans="1:13" ht="12" customHeight="1">
      <c r="A12" s="67" t="s">
        <v>25</v>
      </c>
      <c r="B12" s="71"/>
      <c r="C12" s="72"/>
      <c r="D12" s="72"/>
      <c r="E12" s="72"/>
      <c r="F12" s="72"/>
      <c r="G12" s="72"/>
      <c r="H12" s="71" t="s">
        <v>235</v>
      </c>
      <c r="I12" s="72">
        <v>293838</v>
      </c>
      <c r="J12" s="72">
        <v>342069</v>
      </c>
      <c r="K12" s="17">
        <v>369660</v>
      </c>
      <c r="L12" s="72">
        <v>389392</v>
      </c>
      <c r="M12" s="73">
        <v>389392</v>
      </c>
    </row>
    <row r="13" spans="1:13" ht="12" customHeight="1">
      <c r="A13" s="67" t="s">
        <v>27</v>
      </c>
      <c r="B13" s="71"/>
      <c r="C13" s="72"/>
      <c r="D13" s="72"/>
      <c r="E13" s="72"/>
      <c r="F13" s="72"/>
      <c r="G13" s="72"/>
      <c r="H13" s="71" t="s">
        <v>236</v>
      </c>
      <c r="I13" s="72"/>
      <c r="J13" s="72"/>
      <c r="K13" s="17"/>
      <c r="L13" s="72"/>
      <c r="M13" s="73"/>
    </row>
    <row r="14" spans="1:13" ht="12" customHeight="1">
      <c r="A14" s="67" t="s">
        <v>29</v>
      </c>
      <c r="B14" s="71"/>
      <c r="C14" s="72"/>
      <c r="D14" s="72"/>
      <c r="E14" s="72"/>
      <c r="F14" s="72"/>
      <c r="G14" s="72"/>
      <c r="H14" s="71" t="s">
        <v>237</v>
      </c>
      <c r="I14" s="72"/>
      <c r="J14" s="72"/>
      <c r="K14" s="17"/>
      <c r="L14" s="72">
        <f>58636-38636</f>
        <v>20000</v>
      </c>
      <c r="M14" s="73">
        <f>58636-38636</f>
        <v>20000</v>
      </c>
    </row>
    <row r="15" spans="1:13" ht="12" customHeight="1">
      <c r="A15" s="67" t="s">
        <v>31</v>
      </c>
      <c r="B15" s="71"/>
      <c r="C15" s="72"/>
      <c r="D15" s="72"/>
      <c r="E15" s="72"/>
      <c r="F15" s="72"/>
      <c r="G15" s="72"/>
      <c r="H15" s="71" t="s">
        <v>238</v>
      </c>
      <c r="I15" s="72">
        <v>128247</v>
      </c>
      <c r="J15" s="72"/>
      <c r="K15" s="17"/>
      <c r="L15" s="72"/>
      <c r="M15" s="73"/>
    </row>
    <row r="16" spans="1:13" ht="12" customHeight="1" thickBot="1">
      <c r="A16" s="67" t="s">
        <v>33</v>
      </c>
      <c r="B16" s="74"/>
      <c r="C16" s="75"/>
      <c r="D16" s="75"/>
      <c r="E16" s="75"/>
      <c r="F16" s="75"/>
      <c r="G16" s="75"/>
      <c r="H16" s="74" t="s">
        <v>239</v>
      </c>
      <c r="I16" s="75"/>
      <c r="J16" s="75"/>
      <c r="K16" s="45">
        <v>20000</v>
      </c>
      <c r="L16" s="75">
        <v>20000</v>
      </c>
      <c r="M16" s="76">
        <v>20000</v>
      </c>
    </row>
    <row r="17" spans="1:13" ht="22.5" customHeight="1" thickBot="1">
      <c r="A17" s="67" t="s">
        <v>34</v>
      </c>
      <c r="B17" s="198" t="s">
        <v>240</v>
      </c>
      <c r="C17" s="77">
        <f>SUM(C5:C16)</f>
        <v>8774498</v>
      </c>
      <c r="D17" s="77">
        <f>SUM(D5:D16)</f>
        <v>9076900</v>
      </c>
      <c r="E17" s="77">
        <f>SUM(E5:E16)</f>
        <v>7286859</v>
      </c>
      <c r="F17" s="77">
        <f>SUM(F5:F16)</f>
        <v>5474958</v>
      </c>
      <c r="G17" s="77">
        <f>SUM(G5:G16)</f>
        <v>5677322</v>
      </c>
      <c r="H17" s="213" t="s">
        <v>241</v>
      </c>
      <c r="I17" s="97">
        <f>SUM(I5:I16)</f>
        <v>8400751</v>
      </c>
      <c r="J17" s="97">
        <f>SUM(J5:J16)</f>
        <v>8123020</v>
      </c>
      <c r="K17" s="97">
        <f>SUM(K5:K16)</f>
        <v>7564476</v>
      </c>
      <c r="L17" s="97">
        <f>SUM(L5:L16)</f>
        <v>5903407</v>
      </c>
      <c r="M17" s="98">
        <f>SUM(M5:M16)</f>
        <v>5903407</v>
      </c>
    </row>
    <row r="18" spans="1:13" ht="21.75" customHeight="1">
      <c r="A18" s="67" t="s">
        <v>36</v>
      </c>
      <c r="B18" s="78" t="s">
        <v>242</v>
      </c>
      <c r="C18" s="79">
        <v>357051</v>
      </c>
      <c r="D18" s="79">
        <v>340927</v>
      </c>
      <c r="E18" s="79">
        <v>15888</v>
      </c>
      <c r="F18" s="79">
        <v>191162</v>
      </c>
      <c r="G18" s="79">
        <v>191162</v>
      </c>
      <c r="H18" s="68" t="s">
        <v>243</v>
      </c>
      <c r="I18" s="69"/>
      <c r="J18" s="69">
        <v>163637</v>
      </c>
      <c r="K18" s="33">
        <v>100000</v>
      </c>
      <c r="L18" s="33">
        <v>336728</v>
      </c>
      <c r="M18" s="70">
        <v>336728</v>
      </c>
    </row>
    <row r="19" spans="1:13" ht="12" customHeight="1">
      <c r="A19" s="67" t="s">
        <v>38</v>
      </c>
      <c r="B19" s="80" t="s">
        <v>244</v>
      </c>
      <c r="C19" s="81"/>
      <c r="D19" s="81"/>
      <c r="E19" s="81"/>
      <c r="F19" s="81"/>
      <c r="G19" s="81"/>
      <c r="H19" s="71" t="s">
        <v>245</v>
      </c>
      <c r="I19" s="81"/>
      <c r="J19" s="72">
        <v>362576</v>
      </c>
      <c r="K19" s="17">
        <v>236728</v>
      </c>
      <c r="L19" s="17">
        <v>0</v>
      </c>
      <c r="M19" s="18">
        <v>0</v>
      </c>
    </row>
    <row r="20" spans="1:13" ht="12" customHeight="1">
      <c r="A20" s="67" t="s">
        <v>40</v>
      </c>
      <c r="B20" s="71" t="s">
        <v>246</v>
      </c>
      <c r="C20" s="72"/>
      <c r="D20" s="83"/>
      <c r="E20" s="72"/>
      <c r="F20" s="72"/>
      <c r="G20" s="72"/>
      <c r="H20" s="71" t="s">
        <v>247</v>
      </c>
      <c r="I20" s="72"/>
      <c r="J20" s="72"/>
      <c r="K20" s="84"/>
      <c r="L20" s="85"/>
      <c r="M20" s="86"/>
    </row>
    <row r="21" spans="1:13" ht="12" customHeight="1">
      <c r="A21" s="67" t="s">
        <v>42</v>
      </c>
      <c r="B21" s="71" t="s">
        <v>248</v>
      </c>
      <c r="C21" s="72">
        <v>88279</v>
      </c>
      <c r="D21" s="83">
        <v>336728</v>
      </c>
      <c r="E21" s="72">
        <v>598457</v>
      </c>
      <c r="F21" s="72">
        <f>492408+2867+705</f>
        <v>495980</v>
      </c>
      <c r="G21" s="72">
        <f>492408+2867+705+20711-225000+1925</f>
        <v>293616</v>
      </c>
      <c r="H21" s="71" t="s">
        <v>249</v>
      </c>
      <c r="I21" s="81"/>
      <c r="J21" s="81"/>
      <c r="K21" s="14"/>
      <c r="L21" s="81"/>
      <c r="M21" s="82"/>
    </row>
    <row r="22" spans="1:13" ht="12" customHeight="1">
      <c r="A22" s="67" t="s">
        <v>44</v>
      </c>
      <c r="B22" s="71" t="s">
        <v>250</v>
      </c>
      <c r="C22" s="72"/>
      <c r="D22" s="72"/>
      <c r="E22" s="72"/>
      <c r="F22" s="72"/>
      <c r="G22" s="72"/>
      <c r="H22" s="71" t="s">
        <v>251</v>
      </c>
      <c r="I22" s="72"/>
      <c r="J22" s="72"/>
      <c r="K22" s="17"/>
      <c r="L22" s="72"/>
      <c r="M22" s="73"/>
    </row>
    <row r="23" spans="1:13" ht="12" customHeight="1">
      <c r="A23" s="67" t="s">
        <v>46</v>
      </c>
      <c r="B23" s="71" t="s">
        <v>252</v>
      </c>
      <c r="C23" s="72"/>
      <c r="D23" s="83"/>
      <c r="E23" s="72"/>
      <c r="F23" s="72"/>
      <c r="G23" s="72"/>
      <c r="H23" s="71" t="s">
        <v>253</v>
      </c>
      <c r="I23" s="72"/>
      <c r="J23" s="72"/>
      <c r="K23" s="17"/>
      <c r="L23" s="72"/>
      <c r="M23" s="73"/>
    </row>
    <row r="24" spans="1:13" ht="12" customHeight="1">
      <c r="A24" s="67" t="s">
        <v>48</v>
      </c>
      <c r="B24" s="71" t="s">
        <v>254</v>
      </c>
      <c r="C24" s="72"/>
      <c r="D24" s="72"/>
      <c r="E24" s="72"/>
      <c r="F24" s="72"/>
      <c r="G24" s="72"/>
      <c r="H24" s="71" t="s">
        <v>255</v>
      </c>
      <c r="I24" s="72"/>
      <c r="J24" s="72"/>
      <c r="K24" s="17"/>
      <c r="L24" s="72"/>
      <c r="M24" s="73"/>
    </row>
    <row r="25" spans="1:13" ht="12" customHeight="1">
      <c r="A25" s="67" t="s">
        <v>50</v>
      </c>
      <c r="B25" s="71" t="s">
        <v>256</v>
      </c>
      <c r="C25" s="72"/>
      <c r="D25" s="72"/>
      <c r="E25" s="72"/>
      <c r="F25" s="72"/>
      <c r="G25" s="72"/>
      <c r="H25" s="71" t="s">
        <v>257</v>
      </c>
      <c r="I25" s="72">
        <v>-1368</v>
      </c>
      <c r="J25" s="72">
        <v>287683</v>
      </c>
      <c r="K25" s="14"/>
      <c r="L25" s="81"/>
      <c r="M25" s="82"/>
    </row>
    <row r="26" spans="1:13" ht="12" customHeight="1">
      <c r="A26" s="67" t="s">
        <v>52</v>
      </c>
      <c r="B26" s="71" t="s">
        <v>258</v>
      </c>
      <c r="C26" s="81"/>
      <c r="D26" s="72"/>
      <c r="E26" s="81"/>
      <c r="F26" s="81"/>
      <c r="G26" s="81"/>
      <c r="H26" s="71"/>
      <c r="I26" s="81"/>
      <c r="J26" s="81"/>
      <c r="K26" s="14"/>
      <c r="L26" s="81"/>
      <c r="M26" s="82"/>
    </row>
    <row r="27" spans="1:13" ht="12" customHeight="1">
      <c r="A27" s="67" t="s">
        <v>54</v>
      </c>
      <c r="B27" s="71" t="s">
        <v>259</v>
      </c>
      <c r="C27" s="72">
        <v>3864</v>
      </c>
      <c r="D27" s="72">
        <v>2994</v>
      </c>
      <c r="E27" s="72"/>
      <c r="F27" s="72"/>
      <c r="G27" s="72"/>
      <c r="H27" s="71"/>
      <c r="I27" s="81"/>
      <c r="J27" s="81"/>
      <c r="K27" s="17"/>
      <c r="L27" s="72"/>
      <c r="M27" s="73"/>
    </row>
    <row r="28" spans="1:13" ht="12" customHeight="1" thickBot="1">
      <c r="A28" s="67" t="s">
        <v>56</v>
      </c>
      <c r="B28" s="74"/>
      <c r="C28" s="75"/>
      <c r="D28" s="75"/>
      <c r="E28" s="75"/>
      <c r="F28" s="75"/>
      <c r="G28" s="75"/>
      <c r="H28" s="74"/>
      <c r="I28" s="87"/>
      <c r="J28" s="87"/>
      <c r="K28" s="24"/>
      <c r="L28" s="87"/>
      <c r="M28" s="88"/>
    </row>
    <row r="29" spans="1:13" ht="22.5" customHeight="1" thickBot="1">
      <c r="A29" s="67" t="s">
        <v>58</v>
      </c>
      <c r="B29" s="89" t="s">
        <v>260</v>
      </c>
      <c r="C29" s="90">
        <f>SUM(C20:C28)</f>
        <v>92143</v>
      </c>
      <c r="D29" s="90">
        <f>SUM(D20:D28)</f>
        <v>339722</v>
      </c>
      <c r="E29" s="90">
        <f>SUM(E20:E28)</f>
        <v>598457</v>
      </c>
      <c r="F29" s="90">
        <f>SUM(F20:F28)</f>
        <v>495980</v>
      </c>
      <c r="G29" s="90">
        <f>SUM(G20:G28)</f>
        <v>293616</v>
      </c>
      <c r="H29" s="214" t="s">
        <v>261</v>
      </c>
      <c r="I29" s="97">
        <f>SUM(I18:I28)</f>
        <v>-1368</v>
      </c>
      <c r="J29" s="97">
        <f>SUM(J18:J28)</f>
        <v>813896</v>
      </c>
      <c r="K29" s="97">
        <f>SUM(K18:K28)</f>
        <v>336728</v>
      </c>
      <c r="L29" s="97">
        <f>SUM(L18:L28)</f>
        <v>336728</v>
      </c>
      <c r="M29" s="98">
        <f>SUM(M18:M28)</f>
        <v>336728</v>
      </c>
    </row>
    <row r="30" spans="1:13" s="94" customFormat="1" ht="22.5" customHeight="1" thickBot="1">
      <c r="A30" s="67" t="s">
        <v>60</v>
      </c>
      <c r="B30" s="91" t="s">
        <v>262</v>
      </c>
      <c r="C30" s="92">
        <f>SUM(C17+C18+C19+C29)</f>
        <v>9223692</v>
      </c>
      <c r="D30" s="92">
        <f>SUM(D17+D18+D19+D29)</f>
        <v>9757549</v>
      </c>
      <c r="E30" s="92">
        <f>SUM(E17+E18+E19+E29)</f>
        <v>7901204</v>
      </c>
      <c r="F30" s="92">
        <f>SUM(F17+F18+F19+F29)</f>
        <v>6162100</v>
      </c>
      <c r="G30" s="92">
        <f>SUM(G17+G18+G19+G29)</f>
        <v>6162100</v>
      </c>
      <c r="H30" s="91" t="s">
        <v>263</v>
      </c>
      <c r="I30" s="92">
        <f>SUM(I17+I29)</f>
        <v>8399383</v>
      </c>
      <c r="J30" s="92">
        <f>SUM(J17+J29)</f>
        <v>8936916</v>
      </c>
      <c r="K30" s="92">
        <f>SUM(K17+K29)</f>
        <v>7901204</v>
      </c>
      <c r="L30" s="92">
        <f>SUM(L17+L29)</f>
        <v>6240135</v>
      </c>
      <c r="M30" s="93">
        <f>SUM(M17+M29)</f>
        <v>6240135</v>
      </c>
    </row>
    <row r="31" spans="1:13" ht="16.5" customHeight="1" thickBot="1">
      <c r="A31" s="95" t="s">
        <v>62</v>
      </c>
      <c r="B31" s="96" t="s">
        <v>264</v>
      </c>
      <c r="C31" s="97"/>
      <c r="D31" s="97"/>
      <c r="E31" s="97"/>
      <c r="F31" s="97">
        <f>SUM(L17-F17)</f>
        <v>428449</v>
      </c>
      <c r="G31" s="97">
        <f>SUM(M17-G17)</f>
        <v>226085</v>
      </c>
      <c r="H31" s="96" t="s">
        <v>265</v>
      </c>
      <c r="I31" s="97">
        <f>SUM(C17-I17)</f>
        <v>373747</v>
      </c>
      <c r="J31" s="97">
        <v>953880</v>
      </c>
      <c r="K31" s="99">
        <v>-277617</v>
      </c>
      <c r="L31" s="97"/>
      <c r="M31" s="98"/>
    </row>
    <row r="45" ht="12" customHeight="1"/>
  </sheetData>
  <printOptions horizontalCentered="1" verticalCentered="1"/>
  <pageMargins left="0.18" right="0.16" top="0.7868055555555555" bottom="0.4722222222222222" header="0.5902777777777778" footer="0.5118055555555555"/>
  <pageSetup fitToHeight="1" fitToWidth="1" horizontalDpi="300" verticalDpi="300" orientation="landscape" r:id="rId1"/>
  <headerFooter alignWithMargins="0">
    <oddHeader>&amp;L&amp;8  2. melléklet a …/…..(….) önkormányzati határozathoz&amp;C&amp;"Arial CE,Félkövér"&amp;11Működési célú  bevételek és kiadások mérlege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85" zoomScaleNormal="85" workbookViewId="0" topLeftCell="A1">
      <selection activeCell="S26" sqref="S26"/>
    </sheetView>
  </sheetViews>
  <sheetFormatPr defaultColWidth="9.00390625" defaultRowHeight="12.75"/>
  <cols>
    <col min="1" max="1" width="3.625" style="100" bestFit="1" customWidth="1"/>
    <col min="2" max="2" width="19.125" style="100" customWidth="1"/>
    <col min="3" max="4" width="9.00390625" style="100" customWidth="1"/>
    <col min="5" max="5" width="9.625" style="100" customWidth="1"/>
    <col min="6" max="6" width="11.00390625" style="100" customWidth="1"/>
    <col min="7" max="7" width="9.00390625" style="100" customWidth="1"/>
    <col min="8" max="8" width="10.00390625" style="100" customWidth="1"/>
    <col min="9" max="9" width="9.25390625" style="100" customWidth="1"/>
    <col min="10" max="10" width="8.00390625" style="100" customWidth="1"/>
    <col min="11" max="11" width="10.00390625" style="100" customWidth="1"/>
    <col min="12" max="12" width="9.25390625" style="100" customWidth="1"/>
    <col min="13" max="13" width="9.125" style="100" customWidth="1"/>
    <col min="14" max="14" width="9.625" style="100" customWidth="1"/>
    <col min="15" max="15" width="8.625" style="100" customWidth="1"/>
    <col min="16" max="16" width="8.875" style="100" customWidth="1"/>
    <col min="17" max="17" width="7.375" style="100" customWidth="1"/>
    <col min="18" max="18" width="10.375" style="100" customWidth="1"/>
    <col min="19" max="16384" width="9.125" style="100" customWidth="1"/>
  </cols>
  <sheetData>
    <row r="1" spans="16:18" ht="12.75" customHeight="1">
      <c r="P1" s="218"/>
      <c r="Q1" s="218"/>
      <c r="R1" s="218"/>
    </row>
    <row r="4" spans="16:18" ht="12.75" customHeight="1">
      <c r="P4" s="216" t="s">
        <v>266</v>
      </c>
      <c r="Q4" s="217"/>
      <c r="R4" s="217"/>
    </row>
    <row r="5" ht="13.5" thickBot="1"/>
    <row r="6" spans="1:18" ht="13.5" thickBot="1">
      <c r="A6" s="101"/>
      <c r="B6" s="102" t="s">
        <v>1</v>
      </c>
      <c r="C6" s="103" t="s">
        <v>2</v>
      </c>
      <c r="D6" s="103" t="s">
        <v>3</v>
      </c>
      <c r="E6" s="103" t="s">
        <v>4</v>
      </c>
      <c r="F6" s="103" t="s">
        <v>5</v>
      </c>
      <c r="G6" s="103" t="s">
        <v>6</v>
      </c>
      <c r="H6" s="103" t="s">
        <v>215</v>
      </c>
      <c r="I6" s="103" t="s">
        <v>216</v>
      </c>
      <c r="J6" s="103" t="s">
        <v>214</v>
      </c>
      <c r="K6" s="103" t="s">
        <v>217</v>
      </c>
      <c r="L6" s="103" t="s">
        <v>267</v>
      </c>
      <c r="M6" s="103" t="s">
        <v>268</v>
      </c>
      <c r="N6" s="103" t="s">
        <v>269</v>
      </c>
      <c r="O6" s="103" t="s">
        <v>270</v>
      </c>
      <c r="P6" s="103" t="s">
        <v>271</v>
      </c>
      <c r="Q6" s="104" t="s">
        <v>272</v>
      </c>
      <c r="R6" s="105" t="s">
        <v>273</v>
      </c>
    </row>
    <row r="7" spans="1:18" ht="18" customHeight="1" thickBot="1">
      <c r="A7" s="106"/>
      <c r="B7" s="107"/>
      <c r="C7" s="108" t="s">
        <v>274</v>
      </c>
      <c r="D7" s="108"/>
      <c r="E7" s="108"/>
      <c r="F7" s="108"/>
      <c r="G7" s="108"/>
      <c r="H7" s="108"/>
      <c r="I7" s="108"/>
      <c r="J7" s="108"/>
      <c r="K7" s="108"/>
      <c r="L7" s="108" t="s">
        <v>275</v>
      </c>
      <c r="M7" s="108"/>
      <c r="N7" s="108"/>
      <c r="O7" s="108"/>
      <c r="P7" s="108"/>
      <c r="Q7" s="108"/>
      <c r="R7" s="109"/>
    </row>
    <row r="8" spans="1:18" ht="62.25" customHeight="1" thickBot="1">
      <c r="A8" s="106"/>
      <c r="B8" s="110" t="s">
        <v>276</v>
      </c>
      <c r="C8" s="111" t="s">
        <v>277</v>
      </c>
      <c r="D8" s="112" t="s">
        <v>278</v>
      </c>
      <c r="E8" s="113" t="s">
        <v>279</v>
      </c>
      <c r="F8" s="113" t="s">
        <v>280</v>
      </c>
      <c r="G8" s="113" t="s">
        <v>281</v>
      </c>
      <c r="H8" s="113" t="s">
        <v>282</v>
      </c>
      <c r="I8" s="114" t="s">
        <v>283</v>
      </c>
      <c r="J8" s="115" t="s">
        <v>284</v>
      </c>
      <c r="K8" s="110" t="s">
        <v>285</v>
      </c>
      <c r="L8" s="111" t="s">
        <v>286</v>
      </c>
      <c r="M8" s="112" t="s">
        <v>287</v>
      </c>
      <c r="N8" s="113" t="s">
        <v>288</v>
      </c>
      <c r="O8" s="114" t="s">
        <v>289</v>
      </c>
      <c r="P8" s="114" t="s">
        <v>283</v>
      </c>
      <c r="Q8" s="115" t="s">
        <v>284</v>
      </c>
      <c r="R8" s="110" t="s">
        <v>285</v>
      </c>
    </row>
    <row r="9" spans="1:19" ht="23.25" customHeight="1">
      <c r="A9" s="116" t="s">
        <v>11</v>
      </c>
      <c r="B9" s="117" t="s">
        <v>290</v>
      </c>
      <c r="C9" s="118">
        <f>34453+2000+5486</f>
        <v>41939</v>
      </c>
      <c r="D9" s="119">
        <f>173464+6170-5658</f>
        <v>173976</v>
      </c>
      <c r="E9" s="119">
        <f>15316+2867+5658</f>
        <v>23841</v>
      </c>
      <c r="F9" s="119">
        <f>126243-2000+5453</f>
        <v>129696</v>
      </c>
      <c r="G9" s="119"/>
      <c r="H9" s="119">
        <f>3500+988+263+472</f>
        <v>5223</v>
      </c>
      <c r="I9" s="119"/>
      <c r="J9" s="120"/>
      <c r="K9" s="121">
        <f aca="true" t="shared" si="0" ref="K9:K14">SUM(C9:J9)</f>
        <v>374675</v>
      </c>
      <c r="L9" s="118">
        <f>192107+4686+4455</f>
        <v>201248</v>
      </c>
      <c r="M9" s="119">
        <f>52087+1265+1203</f>
        <v>54555</v>
      </c>
      <c r="N9" s="119">
        <f>103586-498+8353</f>
        <v>111441</v>
      </c>
      <c r="O9" s="120">
        <f>5196+1251+472</f>
        <v>6919</v>
      </c>
      <c r="P9" s="120">
        <v>512</v>
      </c>
      <c r="Q9" s="120"/>
      <c r="R9" s="121">
        <f aca="true" t="shared" si="1" ref="R9:R14">SUM(L9:Q9)</f>
        <v>374675</v>
      </c>
      <c r="S9" s="122"/>
    </row>
    <row r="10" spans="1:19" s="129" customFormat="1" ht="23.25" customHeight="1">
      <c r="A10" s="116" t="s">
        <v>13</v>
      </c>
      <c r="B10" s="123" t="s">
        <v>291</v>
      </c>
      <c r="C10" s="124">
        <f>38000+2000+6500</f>
        <v>46500</v>
      </c>
      <c r="D10" s="125">
        <f>355237</f>
        <v>355237</v>
      </c>
      <c r="E10" s="125">
        <f>123725+5028</f>
        <v>128753</v>
      </c>
      <c r="F10" s="125">
        <f>106025-2000+129344-123725</f>
        <v>109644</v>
      </c>
      <c r="G10" s="125">
        <v>14724</v>
      </c>
      <c r="H10" s="125">
        <v>2910</v>
      </c>
      <c r="I10" s="125"/>
      <c r="J10" s="126"/>
      <c r="K10" s="127">
        <f t="shared" si="0"/>
        <v>657768</v>
      </c>
      <c r="L10" s="124">
        <f>295216+2520+34116+3959</f>
        <v>335811</v>
      </c>
      <c r="M10" s="125">
        <f>78453+680+9212+1069</f>
        <v>89414</v>
      </c>
      <c r="N10" s="125">
        <f>132944-3200+27093+5270</f>
        <v>162107</v>
      </c>
      <c r="O10" s="126">
        <f>7373+2910+50520</f>
        <v>60803</v>
      </c>
      <c r="P10" s="126">
        <f>8403+1230</f>
        <v>9633</v>
      </c>
      <c r="Q10" s="126"/>
      <c r="R10" s="121">
        <f t="shared" si="1"/>
        <v>657768</v>
      </c>
      <c r="S10" s="128"/>
    </row>
    <row r="11" spans="1:19" ht="23.25" customHeight="1">
      <c r="A11" s="116" t="s">
        <v>15</v>
      </c>
      <c r="B11" s="123" t="s">
        <v>292</v>
      </c>
      <c r="C11" s="124">
        <v>7883</v>
      </c>
      <c r="D11" s="125">
        <f>312033</f>
        <v>312033</v>
      </c>
      <c r="E11" s="125">
        <v>3513</v>
      </c>
      <c r="F11" s="125">
        <f>77956+4094</f>
        <v>82050</v>
      </c>
      <c r="G11" s="125">
        <v>8896</v>
      </c>
      <c r="H11" s="125">
        <f>22526+17942-4754</f>
        <v>35714</v>
      </c>
      <c r="I11" s="125">
        <v>4754</v>
      </c>
      <c r="J11" s="126"/>
      <c r="K11" s="127">
        <f t="shared" si="0"/>
        <v>454843</v>
      </c>
      <c r="L11" s="124">
        <f>252000+3224+12105</f>
        <v>267329</v>
      </c>
      <c r="M11" s="125">
        <f>68112+870+747</f>
        <v>69729</v>
      </c>
      <c r="N11" s="125">
        <f>68820+8896+12974</f>
        <v>90690</v>
      </c>
      <c r="O11" s="126">
        <f>8940+13401</f>
        <v>22341</v>
      </c>
      <c r="P11" s="126">
        <v>4754</v>
      </c>
      <c r="Q11" s="126"/>
      <c r="R11" s="121">
        <f t="shared" si="1"/>
        <v>454843</v>
      </c>
      <c r="S11" s="122"/>
    </row>
    <row r="12" spans="1:19" ht="23.25" customHeight="1">
      <c r="A12" s="116" t="s">
        <v>17</v>
      </c>
      <c r="B12" s="130" t="s">
        <v>293</v>
      </c>
      <c r="C12" s="124">
        <v>2000</v>
      </c>
      <c r="D12" s="125"/>
      <c r="E12" s="125">
        <v>671</v>
      </c>
      <c r="F12" s="125">
        <f>39760+1666</f>
        <v>41426</v>
      </c>
      <c r="G12" s="125">
        <v>2266</v>
      </c>
      <c r="H12" s="125">
        <f>13143+359+80</f>
        <v>13582</v>
      </c>
      <c r="I12" s="125">
        <v>457</v>
      </c>
      <c r="J12" s="126"/>
      <c r="K12" s="127">
        <f t="shared" si="0"/>
        <v>60402</v>
      </c>
      <c r="L12" s="124">
        <f>32175+599+593</f>
        <v>33367</v>
      </c>
      <c r="M12" s="125">
        <f>8640+161+158</f>
        <v>8959</v>
      </c>
      <c r="N12" s="125">
        <f>14088+2266+634+359</f>
        <v>17347</v>
      </c>
      <c r="O12" s="126"/>
      <c r="P12" s="126">
        <f>457+272</f>
        <v>729</v>
      </c>
      <c r="Q12" s="126"/>
      <c r="R12" s="121">
        <f t="shared" si="1"/>
        <v>60402</v>
      </c>
      <c r="S12" s="131"/>
    </row>
    <row r="13" spans="1:19" ht="23.25" customHeight="1">
      <c r="A13" s="116" t="s">
        <v>19</v>
      </c>
      <c r="B13" s="123" t="s">
        <v>294</v>
      </c>
      <c r="C13" s="124">
        <f>26050+6590</f>
        <v>32640</v>
      </c>
      <c r="D13" s="125"/>
      <c r="E13" s="125">
        <f>55000+862</f>
        <v>55862</v>
      </c>
      <c r="F13" s="125">
        <f>35051+1276+2386</f>
        <v>38713</v>
      </c>
      <c r="G13" s="125">
        <v>3464</v>
      </c>
      <c r="H13" s="125">
        <f>10510+10000+1599</f>
        <v>22109</v>
      </c>
      <c r="I13" s="125">
        <v>0</v>
      </c>
      <c r="J13" s="126">
        <v>0</v>
      </c>
      <c r="K13" s="127">
        <f t="shared" si="0"/>
        <v>152788</v>
      </c>
      <c r="L13" s="124">
        <f>32104+1026+8015+794+679</f>
        <v>42618</v>
      </c>
      <c r="M13" s="125">
        <f>8696+250+1476+212+183</f>
        <v>10817</v>
      </c>
      <c r="N13" s="125">
        <f>20301+69483+2446+6590</f>
        <v>98820</v>
      </c>
      <c r="O13" s="126"/>
      <c r="P13" s="126">
        <v>533</v>
      </c>
      <c r="Q13" s="126"/>
      <c r="R13" s="121">
        <f t="shared" si="1"/>
        <v>152788</v>
      </c>
      <c r="S13" s="122"/>
    </row>
    <row r="14" spans="1:19" ht="23.25" customHeight="1" thickBot="1">
      <c r="A14" s="116" t="s">
        <v>21</v>
      </c>
      <c r="B14" s="132" t="s">
        <v>295</v>
      </c>
      <c r="C14" s="133">
        <f>105+1175</f>
        <v>1280</v>
      </c>
      <c r="D14" s="134"/>
      <c r="E14" s="134"/>
      <c r="F14" s="134"/>
      <c r="G14" s="134">
        <v>1164</v>
      </c>
      <c r="H14" s="134"/>
      <c r="I14" s="134"/>
      <c r="J14" s="135"/>
      <c r="K14" s="136">
        <f t="shared" si="0"/>
        <v>2444</v>
      </c>
      <c r="L14" s="133"/>
      <c r="M14" s="134"/>
      <c r="N14" s="134">
        <f>1269+1175</f>
        <v>2444</v>
      </c>
      <c r="O14" s="135"/>
      <c r="P14" s="135"/>
      <c r="Q14" s="135"/>
      <c r="R14" s="137">
        <f t="shared" si="1"/>
        <v>2444</v>
      </c>
      <c r="S14" s="122"/>
    </row>
    <row r="15" spans="1:19" ht="26.25" customHeight="1" thickBot="1">
      <c r="A15" s="116" t="s">
        <v>23</v>
      </c>
      <c r="B15" s="138" t="s">
        <v>296</v>
      </c>
      <c r="C15" s="139">
        <f aca="true" t="shared" si="2" ref="C15:P15">SUM(C9:C14)</f>
        <v>132242</v>
      </c>
      <c r="D15" s="140">
        <f t="shared" si="2"/>
        <v>841246</v>
      </c>
      <c r="E15" s="140">
        <f t="shared" si="2"/>
        <v>212640</v>
      </c>
      <c r="F15" s="140">
        <f t="shared" si="2"/>
        <v>401529</v>
      </c>
      <c r="G15" s="140">
        <f t="shared" si="2"/>
        <v>30514</v>
      </c>
      <c r="H15" s="140">
        <f t="shared" si="2"/>
        <v>79538</v>
      </c>
      <c r="I15" s="140">
        <f t="shared" si="2"/>
        <v>5211</v>
      </c>
      <c r="J15" s="141">
        <f t="shared" si="2"/>
        <v>0</v>
      </c>
      <c r="K15" s="142">
        <f t="shared" si="2"/>
        <v>1702920</v>
      </c>
      <c r="L15" s="143">
        <f t="shared" si="2"/>
        <v>880373</v>
      </c>
      <c r="M15" s="140">
        <f t="shared" si="2"/>
        <v>233474</v>
      </c>
      <c r="N15" s="140">
        <f t="shared" si="2"/>
        <v>482849</v>
      </c>
      <c r="O15" s="140">
        <f t="shared" si="2"/>
        <v>90063</v>
      </c>
      <c r="P15" s="140">
        <f t="shared" si="2"/>
        <v>16161</v>
      </c>
      <c r="Q15" s="141">
        <f>SUM(Q9:Q14)</f>
        <v>0</v>
      </c>
      <c r="R15" s="142">
        <f>SUM(R9:R14)</f>
        <v>1702920</v>
      </c>
      <c r="S15" s="122"/>
    </row>
    <row r="16" spans="1:19" ht="23.25" customHeight="1">
      <c r="A16" s="116" t="s">
        <v>25</v>
      </c>
      <c r="B16" s="144" t="s">
        <v>297</v>
      </c>
      <c r="C16" s="145">
        <f>57000-2811</f>
        <v>54189</v>
      </c>
      <c r="D16" s="119">
        <v>3765</v>
      </c>
      <c r="E16" s="119"/>
      <c r="F16" s="119"/>
      <c r="G16" s="119"/>
      <c r="H16" s="119">
        <f>3543837-2279012-77962-73</f>
        <v>1186790</v>
      </c>
      <c r="I16" s="119">
        <f>100000+77962+73</f>
        <v>178035</v>
      </c>
      <c r="J16" s="120"/>
      <c r="K16" s="121">
        <f>SUM(C16:J16)</f>
        <v>1422779</v>
      </c>
      <c r="L16" s="118">
        <f>2052730-1255828</f>
        <v>796902</v>
      </c>
      <c r="M16" s="119">
        <f>545333-330056</f>
        <v>215277</v>
      </c>
      <c r="N16" s="119">
        <f>1002774-692174</f>
        <v>310600</v>
      </c>
      <c r="O16" s="120"/>
      <c r="P16" s="120">
        <f>100000</f>
        <v>100000</v>
      </c>
      <c r="Q16" s="120"/>
      <c r="R16" s="121">
        <f>SUM(L16:Q16)</f>
        <v>1422779</v>
      </c>
      <c r="S16" s="122"/>
    </row>
    <row r="17" spans="1:19" ht="23.25" customHeight="1" thickBot="1">
      <c r="A17" s="116" t="s">
        <v>27</v>
      </c>
      <c r="B17" s="146" t="s">
        <v>298</v>
      </c>
      <c r="C17" s="147">
        <v>3500</v>
      </c>
      <c r="D17" s="134"/>
      <c r="E17" s="134">
        <v>1711</v>
      </c>
      <c r="F17" s="134">
        <v>1840</v>
      </c>
      <c r="G17" s="134">
        <v>28261</v>
      </c>
      <c r="H17" s="134">
        <v>124750</v>
      </c>
      <c r="I17" s="134"/>
      <c r="J17" s="135"/>
      <c r="K17" s="136">
        <f>SUM(C17:J17)</f>
        <v>160062</v>
      </c>
      <c r="L17" s="133">
        <f>62627+7500+1449+1347</f>
        <v>72923</v>
      </c>
      <c r="M17" s="134">
        <f>15500+2000+391+364</f>
        <v>18255</v>
      </c>
      <c r="N17" s="134">
        <f>50123+18761</f>
        <v>68884</v>
      </c>
      <c r="O17" s="135"/>
      <c r="P17" s="135"/>
      <c r="Q17" s="135"/>
      <c r="R17" s="136">
        <f>SUM(L17:Q17)</f>
        <v>160062</v>
      </c>
      <c r="S17" s="122"/>
    </row>
    <row r="18" spans="1:19" ht="23.25" customHeight="1" thickBot="1">
      <c r="A18" s="116" t="s">
        <v>29</v>
      </c>
      <c r="B18" s="148" t="s">
        <v>299</v>
      </c>
      <c r="C18" s="139">
        <f aca="true" t="shared" si="3" ref="C18:N18">SUM(C16:C17)</f>
        <v>57689</v>
      </c>
      <c r="D18" s="140">
        <f t="shared" si="3"/>
        <v>3765</v>
      </c>
      <c r="E18" s="140">
        <f t="shared" si="3"/>
        <v>1711</v>
      </c>
      <c r="F18" s="140">
        <f t="shared" si="3"/>
        <v>1840</v>
      </c>
      <c r="G18" s="140">
        <f t="shared" si="3"/>
        <v>28261</v>
      </c>
      <c r="H18" s="140">
        <f t="shared" si="3"/>
        <v>1311540</v>
      </c>
      <c r="I18" s="140">
        <f t="shared" si="3"/>
        <v>178035</v>
      </c>
      <c r="J18" s="141">
        <f t="shared" si="3"/>
        <v>0</v>
      </c>
      <c r="K18" s="142">
        <f t="shared" si="3"/>
        <v>1582841</v>
      </c>
      <c r="L18" s="143">
        <f t="shared" si="3"/>
        <v>869825</v>
      </c>
      <c r="M18" s="140">
        <f t="shared" si="3"/>
        <v>233532</v>
      </c>
      <c r="N18" s="140">
        <f t="shared" si="3"/>
        <v>379484</v>
      </c>
      <c r="O18" s="140"/>
      <c r="P18" s="140">
        <f>SUM(P16:P17)</f>
        <v>100000</v>
      </c>
      <c r="Q18" s="141">
        <f>SUM(Q16:Q17)</f>
        <v>0</v>
      </c>
      <c r="R18" s="142">
        <f>SUM(R16:R17)</f>
        <v>1582841</v>
      </c>
      <c r="S18" s="122"/>
    </row>
    <row r="19" spans="1:19" ht="23.25" customHeight="1">
      <c r="A19" s="116" t="s">
        <v>31</v>
      </c>
      <c r="B19" s="149" t="s">
        <v>300</v>
      </c>
      <c r="C19" s="150">
        <f>341+336</f>
        <v>677</v>
      </c>
      <c r="D19" s="151">
        <f>130224+4226</f>
        <v>134450</v>
      </c>
      <c r="E19" s="151">
        <v>16218</v>
      </c>
      <c r="F19" s="151">
        <f>92388</f>
        <v>92388</v>
      </c>
      <c r="G19" s="151"/>
      <c r="H19" s="151"/>
      <c r="I19" s="151"/>
      <c r="J19" s="152"/>
      <c r="K19" s="153">
        <f aca="true" t="shared" si="4" ref="K19:K27">SUM(C19:J19)</f>
        <v>243733</v>
      </c>
      <c r="L19" s="154">
        <f>157334+465+3642+3257</f>
        <v>164698</v>
      </c>
      <c r="M19" s="151">
        <f>42402+125+983+880</f>
        <v>44390</v>
      </c>
      <c r="N19" s="151">
        <f>29740-590+1176+4230+89</f>
        <v>34645</v>
      </c>
      <c r="O19" s="151"/>
      <c r="P19" s="155"/>
      <c r="Q19" s="156"/>
      <c r="R19" s="153">
        <f aca="true" t="shared" si="5" ref="R19:R28">SUM(L19:Q19)</f>
        <v>243733</v>
      </c>
      <c r="S19" s="122"/>
    </row>
    <row r="20" spans="1:19" ht="23.25" customHeight="1">
      <c r="A20" s="116" t="s">
        <v>33</v>
      </c>
      <c r="B20" s="157" t="s">
        <v>301</v>
      </c>
      <c r="C20" s="158">
        <f>100+2000</f>
        <v>2100</v>
      </c>
      <c r="D20" s="159">
        <f>86361+3140</f>
        <v>89501</v>
      </c>
      <c r="E20" s="159">
        <v>8865</v>
      </c>
      <c r="F20" s="159">
        <f>46943-2000</f>
        <v>44943</v>
      </c>
      <c r="G20" s="160"/>
      <c r="H20" s="159">
        <f>1212+560</f>
        <v>1772</v>
      </c>
      <c r="I20" s="159"/>
      <c r="J20" s="161"/>
      <c r="K20" s="162">
        <f t="shared" si="4"/>
        <v>147181</v>
      </c>
      <c r="L20" s="163">
        <f>83680+1410+2248+2309</f>
        <v>89647</v>
      </c>
      <c r="M20" s="159">
        <f>22486+380+607+624</f>
        <v>24097</v>
      </c>
      <c r="N20" s="159">
        <f>25870-1790+6010+207</f>
        <v>30297</v>
      </c>
      <c r="O20" s="159">
        <f>2580+560</f>
        <v>3140</v>
      </c>
      <c r="P20" s="164"/>
      <c r="Q20" s="165"/>
      <c r="R20" s="162">
        <f t="shared" si="5"/>
        <v>147181</v>
      </c>
      <c r="S20" s="122"/>
    </row>
    <row r="21" spans="1:19" ht="23.25" customHeight="1">
      <c r="A21" s="116" t="s">
        <v>34</v>
      </c>
      <c r="B21" s="157" t="s">
        <v>302</v>
      </c>
      <c r="C21" s="158">
        <v>540</v>
      </c>
      <c r="D21" s="159">
        <f>33638+1348</f>
        <v>34986</v>
      </c>
      <c r="E21" s="159">
        <v>5293</v>
      </c>
      <c r="F21" s="159">
        <f>35227</f>
        <v>35227</v>
      </c>
      <c r="G21" s="160"/>
      <c r="H21" s="159">
        <f>731</f>
        <v>731</v>
      </c>
      <c r="I21" s="159"/>
      <c r="J21" s="161"/>
      <c r="K21" s="162">
        <f t="shared" si="4"/>
        <v>76777</v>
      </c>
      <c r="L21" s="163">
        <f>46513+939+1155</f>
        <v>48607</v>
      </c>
      <c r="M21" s="159">
        <f>12632+254+253</f>
        <v>13139</v>
      </c>
      <c r="N21" s="159">
        <f>9000+4100+157</f>
        <v>13257</v>
      </c>
      <c r="O21" s="159">
        <f>1260+514</f>
        <v>1774</v>
      </c>
      <c r="P21" s="164"/>
      <c r="Q21" s="165"/>
      <c r="R21" s="162">
        <f t="shared" si="5"/>
        <v>76777</v>
      </c>
      <c r="S21" s="122"/>
    </row>
    <row r="22" spans="1:19" ht="23.25" customHeight="1">
      <c r="A22" s="116" t="s">
        <v>36</v>
      </c>
      <c r="B22" s="157" t="s">
        <v>303</v>
      </c>
      <c r="C22" s="158">
        <v>3901</v>
      </c>
      <c r="D22" s="159">
        <f>32774+228+705</f>
        <v>33707</v>
      </c>
      <c r="E22" s="159">
        <v>1189</v>
      </c>
      <c r="F22" s="159">
        <f>23825</f>
        <v>23825</v>
      </c>
      <c r="G22" s="160"/>
      <c r="H22" s="159"/>
      <c r="I22" s="159"/>
      <c r="J22" s="161"/>
      <c r="K22" s="162">
        <f t="shared" si="4"/>
        <v>62622</v>
      </c>
      <c r="L22" s="163">
        <f>42474+937+735</f>
        <v>44146</v>
      </c>
      <c r="M22" s="159">
        <f>11261+252+198</f>
        <v>11711</v>
      </c>
      <c r="N22" s="159">
        <f>7392-627</f>
        <v>6765</v>
      </c>
      <c r="O22" s="159"/>
      <c r="P22" s="164"/>
      <c r="Q22" s="165"/>
      <c r="R22" s="162">
        <f t="shared" si="5"/>
        <v>62622</v>
      </c>
      <c r="S22" s="122"/>
    </row>
    <row r="23" spans="1:19" ht="23.25" customHeight="1">
      <c r="A23" s="116" t="s">
        <v>38</v>
      </c>
      <c r="B23" s="157" t="s">
        <v>304</v>
      </c>
      <c r="C23" s="158">
        <v>0</v>
      </c>
      <c r="D23" s="159">
        <f>20501+855</f>
        <v>21356</v>
      </c>
      <c r="E23" s="159">
        <f>40737+30930</f>
        <v>71667</v>
      </c>
      <c r="F23" s="159"/>
      <c r="G23" s="160"/>
      <c r="H23" s="159">
        <f>1000+2500</f>
        <v>3500</v>
      </c>
      <c r="I23" s="159"/>
      <c r="J23" s="161"/>
      <c r="K23" s="162">
        <f t="shared" si="4"/>
        <v>96523</v>
      </c>
      <c r="L23" s="163">
        <f>42206+1859+673</f>
        <v>44738</v>
      </c>
      <c r="M23" s="159">
        <f>11396+502+182</f>
        <v>12080</v>
      </c>
      <c r="N23" s="159">
        <f>8636+6570</f>
        <v>15206</v>
      </c>
      <c r="O23" s="159"/>
      <c r="P23" s="125">
        <v>24499</v>
      </c>
      <c r="Q23" s="165"/>
      <c r="R23" s="162">
        <f t="shared" si="5"/>
        <v>96523</v>
      </c>
      <c r="S23" s="122"/>
    </row>
    <row r="24" spans="1:19" ht="23.25" customHeight="1" thickBot="1">
      <c r="A24" s="116" t="s">
        <v>40</v>
      </c>
      <c r="B24" s="166" t="s">
        <v>305</v>
      </c>
      <c r="C24" s="167">
        <f>37566-9474</f>
        <v>28092</v>
      </c>
      <c r="D24" s="168">
        <f>164083+21536</f>
        <v>185619</v>
      </c>
      <c r="E24" s="168">
        <f>41354+11774</f>
        <v>53128</v>
      </c>
      <c r="F24" s="168">
        <f>51083</f>
        <v>51083</v>
      </c>
      <c r="G24" s="168"/>
      <c r="H24" s="168">
        <v>10600</v>
      </c>
      <c r="I24" s="168"/>
      <c r="J24" s="169"/>
      <c r="K24" s="170">
        <f t="shared" si="4"/>
        <v>328522</v>
      </c>
      <c r="L24" s="171">
        <f>179708+2858+4196+7635</f>
        <v>194397</v>
      </c>
      <c r="M24" s="168">
        <f>45554+772+1133+2051</f>
        <v>49510</v>
      </c>
      <c r="N24" s="168">
        <f>73195-3630+200+11450+2300</f>
        <v>83515</v>
      </c>
      <c r="O24" s="168">
        <v>700</v>
      </c>
      <c r="P24" s="168">
        <v>400</v>
      </c>
      <c r="Q24" s="169"/>
      <c r="R24" s="170">
        <f t="shared" si="5"/>
        <v>328522</v>
      </c>
      <c r="S24" s="122"/>
    </row>
    <row r="25" spans="1:19" ht="23.25" customHeight="1" thickBot="1">
      <c r="A25" s="116" t="s">
        <v>42</v>
      </c>
      <c r="B25" s="138" t="s">
        <v>306</v>
      </c>
      <c r="C25" s="172">
        <f aca="true" t="shared" si="6" ref="C25:J25">SUM(C19:C24)</f>
        <v>35310</v>
      </c>
      <c r="D25" s="173">
        <f t="shared" si="6"/>
        <v>499619</v>
      </c>
      <c r="E25" s="173">
        <f t="shared" si="6"/>
        <v>156360</v>
      </c>
      <c r="F25" s="173">
        <f t="shared" si="6"/>
        <v>247466</v>
      </c>
      <c r="G25" s="173">
        <f t="shared" si="6"/>
        <v>0</v>
      </c>
      <c r="H25" s="173">
        <f t="shared" si="6"/>
        <v>16603</v>
      </c>
      <c r="I25" s="173">
        <f t="shared" si="6"/>
        <v>0</v>
      </c>
      <c r="J25" s="174">
        <f t="shared" si="6"/>
        <v>0</v>
      </c>
      <c r="K25" s="142">
        <f t="shared" si="4"/>
        <v>955358</v>
      </c>
      <c r="L25" s="175">
        <f aca="true" t="shared" si="7" ref="L25:Q25">SUM(L19:L24)</f>
        <v>586233</v>
      </c>
      <c r="M25" s="173">
        <f t="shared" si="7"/>
        <v>154927</v>
      </c>
      <c r="N25" s="173">
        <f t="shared" si="7"/>
        <v>183685</v>
      </c>
      <c r="O25" s="173">
        <f t="shared" si="7"/>
        <v>5614</v>
      </c>
      <c r="P25" s="173">
        <f t="shared" si="7"/>
        <v>24899</v>
      </c>
      <c r="Q25" s="174">
        <f t="shared" si="7"/>
        <v>0</v>
      </c>
      <c r="R25" s="142">
        <f t="shared" si="5"/>
        <v>955358</v>
      </c>
      <c r="S25" s="122"/>
    </row>
    <row r="26" spans="1:19" ht="23.25" customHeight="1">
      <c r="A26" s="176" t="s">
        <v>44</v>
      </c>
      <c r="B26" s="177" t="s">
        <v>307</v>
      </c>
      <c r="C26" s="145">
        <f>69900-19000</f>
        <v>50900</v>
      </c>
      <c r="D26" s="119">
        <f>19832-6088</f>
        <v>13744</v>
      </c>
      <c r="E26" s="119">
        <v>6088</v>
      </c>
      <c r="F26" s="119">
        <f>762194+170218+2235+1660</f>
        <v>936307</v>
      </c>
      <c r="G26" s="118"/>
      <c r="H26" s="118"/>
      <c r="I26" s="119"/>
      <c r="J26" s="120"/>
      <c r="K26" s="121">
        <f t="shared" si="4"/>
        <v>1007039</v>
      </c>
      <c r="L26" s="118">
        <f>446088-105495+4988+4794</f>
        <v>350375</v>
      </c>
      <c r="M26" s="119">
        <f>112332-21752+1347+1294</f>
        <v>93221</v>
      </c>
      <c r="N26" s="119">
        <f>254674+297465-4100+1660+12820</f>
        <v>562519</v>
      </c>
      <c r="O26" s="118"/>
      <c r="P26" s="120">
        <v>924</v>
      </c>
      <c r="Q26" s="120"/>
      <c r="R26" s="121">
        <f t="shared" si="5"/>
        <v>1007039</v>
      </c>
      <c r="S26" s="122"/>
    </row>
    <row r="27" spans="1:19" ht="23.25" customHeight="1">
      <c r="A27" s="176" t="s">
        <v>46</v>
      </c>
      <c r="B27" s="178" t="s">
        <v>308</v>
      </c>
      <c r="C27" s="179">
        <f>9790+8300+986500+6000+9474</f>
        <v>1020064</v>
      </c>
      <c r="D27" s="180">
        <f>475177-1681-9+40915+64938-20711</f>
        <v>558629</v>
      </c>
      <c r="E27" s="180">
        <f>56301+121563+88869+56640+152111-1+225000-1925+99143+8045</f>
        <v>805746</v>
      </c>
      <c r="F27" s="180"/>
      <c r="G27" s="180">
        <f>1000000+422052</f>
        <v>1422052</v>
      </c>
      <c r="H27" s="180">
        <f>98400+274930+129422+23017+4648-152111+90197-24499-10758+4154-8684-100-99143-8045</f>
        <v>321428</v>
      </c>
      <c r="I27" s="180">
        <f>1170767+5000+7537+6000+282733+24499-60000+8684+100</f>
        <v>1445320</v>
      </c>
      <c r="J27" s="181">
        <f>770340-134014-91000+800+69022-220156+152439+47000+1276+1850+900-512+1681+10-121563-88869-56640+141844+18000+2867+705+20711-225000+1925</f>
        <v>293616</v>
      </c>
      <c r="K27" s="137">
        <f t="shared" si="4"/>
        <v>5866855</v>
      </c>
      <c r="L27" s="182">
        <f>42214+115995+268+10977</f>
        <v>169454</v>
      </c>
      <c r="M27" s="180">
        <f>11325+24752+72-3377</f>
        <v>32772</v>
      </c>
      <c r="N27" s="180">
        <f>859043+20000-129422-23017+1850+900-173520+230+149+79064+2000-42270</f>
        <v>595007</v>
      </c>
      <c r="O27" s="181"/>
      <c r="P27" s="181">
        <f>2189304-141551+289665+282733+57890-99106</f>
        <v>2578935</v>
      </c>
      <c r="Q27" s="181">
        <f>470742+7537</f>
        <v>478279</v>
      </c>
      <c r="R27" s="136">
        <f t="shared" si="5"/>
        <v>3854447</v>
      </c>
      <c r="S27" s="122"/>
    </row>
    <row r="28" spans="1:19" ht="23.25" customHeight="1" thickBot="1">
      <c r="A28" s="176" t="s">
        <v>48</v>
      </c>
      <c r="B28" s="183"/>
      <c r="C28" s="184"/>
      <c r="D28" s="185"/>
      <c r="E28" s="185"/>
      <c r="F28" s="185"/>
      <c r="G28" s="185"/>
      <c r="H28" s="185"/>
      <c r="I28" s="185"/>
      <c r="J28" s="186"/>
      <c r="K28" s="187"/>
      <c r="L28" s="188"/>
      <c r="M28" s="185"/>
      <c r="N28" s="185">
        <f>1489096+1276+225218+193552+18000-2000+86561+705</f>
        <v>2012408</v>
      </c>
      <c r="O28" s="185"/>
      <c r="P28" s="185"/>
      <c r="Q28" s="186"/>
      <c r="R28" s="189">
        <f t="shared" si="5"/>
        <v>2012408</v>
      </c>
      <c r="S28" s="122"/>
    </row>
    <row r="29" spans="1:19" ht="22.5" customHeight="1" thickBot="1">
      <c r="A29" s="116" t="s">
        <v>50</v>
      </c>
      <c r="B29" s="190" t="s">
        <v>309</v>
      </c>
      <c r="C29" s="191">
        <f aca="true" t="shared" si="8" ref="C29:K29">SUM(C15+C18+C25+C26+C27)</f>
        <v>1296205</v>
      </c>
      <c r="D29" s="191">
        <f>SUM(D15+D18+D25+D26+D27)</f>
        <v>1917003</v>
      </c>
      <c r="E29" s="191">
        <f t="shared" si="8"/>
        <v>1182545</v>
      </c>
      <c r="F29" s="191">
        <f t="shared" si="8"/>
        <v>1587142</v>
      </c>
      <c r="G29" s="191">
        <f t="shared" si="8"/>
        <v>1480827</v>
      </c>
      <c r="H29" s="191">
        <f t="shared" si="8"/>
        <v>1729109</v>
      </c>
      <c r="I29" s="191">
        <f t="shared" si="8"/>
        <v>1628566</v>
      </c>
      <c r="J29" s="192">
        <f t="shared" si="8"/>
        <v>293616</v>
      </c>
      <c r="K29" s="193">
        <f t="shared" si="8"/>
        <v>11115013</v>
      </c>
      <c r="L29" s="191">
        <f aca="true" t="shared" si="9" ref="L29:R29">SUM(L15+L18+L25+L26+L27+L28)</f>
        <v>2856260</v>
      </c>
      <c r="M29" s="191">
        <f t="shared" si="9"/>
        <v>747926</v>
      </c>
      <c r="N29" s="191">
        <f t="shared" si="9"/>
        <v>4215952</v>
      </c>
      <c r="O29" s="191">
        <f t="shared" si="9"/>
        <v>95677</v>
      </c>
      <c r="P29" s="191">
        <f t="shared" si="9"/>
        <v>2720919</v>
      </c>
      <c r="Q29" s="192">
        <f t="shared" si="9"/>
        <v>478279</v>
      </c>
      <c r="R29" s="193">
        <f t="shared" si="9"/>
        <v>11115013</v>
      </c>
      <c r="S29" s="122"/>
    </row>
    <row r="30" spans="2:18" ht="14.25">
      <c r="B30" s="194"/>
      <c r="H30" s="194"/>
      <c r="K30" s="195"/>
      <c r="L30" s="122"/>
      <c r="N30" s="196"/>
      <c r="R30" s="195">
        <f>N28</f>
        <v>2012408</v>
      </c>
    </row>
    <row r="31" spans="2:18" ht="12.75">
      <c r="B31" s="194"/>
      <c r="C31" s="122"/>
      <c r="D31" s="122"/>
      <c r="E31" s="122"/>
      <c r="F31" s="122"/>
      <c r="G31" s="122"/>
      <c r="H31" s="122"/>
      <c r="I31" s="131"/>
      <c r="J31" s="131"/>
      <c r="K31" s="197"/>
      <c r="L31" s="122"/>
      <c r="M31" s="122"/>
      <c r="N31" s="122"/>
      <c r="O31" s="122"/>
      <c r="P31" s="122"/>
      <c r="Q31" s="122"/>
      <c r="R31" s="197">
        <f>R29-R30</f>
        <v>9102605</v>
      </c>
    </row>
    <row r="32" spans="2:18" ht="12.75">
      <c r="B32" s="194"/>
      <c r="C32" s="122"/>
      <c r="D32" s="122"/>
      <c r="E32" s="122"/>
      <c r="F32" s="122"/>
      <c r="G32" s="122"/>
      <c r="H32" s="122"/>
      <c r="I32" s="122"/>
      <c r="J32" s="122"/>
      <c r="K32" s="122"/>
      <c r="L32" s="194"/>
      <c r="M32" s="122"/>
      <c r="N32" s="122"/>
      <c r="O32" s="122"/>
      <c r="P32" s="122"/>
      <c r="Q32" s="122"/>
      <c r="R32" s="122"/>
    </row>
    <row r="33" spans="2:18" ht="12.75">
      <c r="B33" s="194"/>
      <c r="G33" s="194"/>
      <c r="H33" s="122"/>
      <c r="J33" s="122"/>
      <c r="K33" s="122"/>
      <c r="R33" s="122"/>
    </row>
    <row r="34" spans="8:13" ht="12.75">
      <c r="H34" s="122"/>
      <c r="I34" s="194"/>
      <c r="J34" s="197"/>
      <c r="M34" s="194"/>
    </row>
    <row r="35" ht="12.75">
      <c r="J35" s="122"/>
    </row>
    <row r="36" spans="8:18" ht="12.75">
      <c r="H36" s="194"/>
      <c r="R36" s="194"/>
    </row>
    <row r="37" ht="12.75">
      <c r="R37" s="194"/>
    </row>
    <row r="41" ht="12.75">
      <c r="I41" s="194" t="s">
        <v>310</v>
      </c>
    </row>
  </sheetData>
  <mergeCells count="2">
    <mergeCell ref="P4:R4"/>
    <mergeCell ref="P1:R1"/>
  </mergeCells>
  <printOptions/>
  <pageMargins left="0.48" right="0.17" top="0.23" bottom="0.25" header="0.32" footer="0.16"/>
  <pageSetup horizontalDpi="600" verticalDpi="600" orientation="landscape" paperSize="9" scale="80" r:id="rId1"/>
  <headerFooter alignWithMargins="0">
    <oddHeader>&amp;L&amp;8 3. melléklet a…/….(….) önkormányzati rendelethez&amp;C&amp;"Arial CE,Félkövér"&amp;11Az  önkormányzat és intézményeinek tervezett 
 bevételei és kiadásai
&amp;R
&amp;8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2013-04-18T14:26:30Z</cp:lastPrinted>
  <dcterms:created xsi:type="dcterms:W3CDTF">1997-01-17T14:02:09Z</dcterms:created>
  <dcterms:modified xsi:type="dcterms:W3CDTF">2013-04-18T14:26:36Z</dcterms:modified>
  <cp:category/>
  <cp:version/>
  <cp:contentType/>
  <cp:contentStatus/>
</cp:coreProperties>
</file>