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220" windowHeight="8325" firstSheet="2" activeTab="5"/>
  </bookViews>
  <sheets>
    <sheet name="1.sz.mérleg ÚJ (2)" sheetId="1" r:id="rId1"/>
    <sheet name="2.sz.mérleg működési" sheetId="2" r:id="rId2"/>
    <sheet name="3.sz.mérleg felhalmozási" sheetId="3" r:id="rId3"/>
    <sheet name="4.sz.Bev-kiad." sheetId="4" r:id="rId4"/>
    <sheet name="5.sz.címrend" sheetId="5" r:id="rId5"/>
    <sheet name="6.sz.Felhalm." sheetId="6" r:id="rId6"/>
  </sheets>
  <externalReferences>
    <externalReference r:id="rId9"/>
  </externalReferences>
  <definedNames>
    <definedName name="_xlnm.Print_Area" localSheetId="3">'4.sz.Bev-kiad.'!$A$1:$R$32</definedName>
  </definedNames>
  <calcPr fullCalcOnLoad="1"/>
</workbook>
</file>

<file path=xl/sharedStrings.xml><?xml version="1.0" encoding="utf-8"?>
<sst xmlns="http://schemas.openxmlformats.org/spreadsheetml/2006/main" count="670" uniqueCount="418">
  <si>
    <t>1.</t>
  </si>
  <si>
    <t>Vári Emil Társulási Általános Iskola</t>
  </si>
  <si>
    <t>2.</t>
  </si>
  <si>
    <t>3.</t>
  </si>
  <si>
    <t>4.</t>
  </si>
  <si>
    <t>5.</t>
  </si>
  <si>
    <t>Városi Könyvtár</t>
  </si>
  <si>
    <t>6.</t>
  </si>
  <si>
    <t>Várszínház és Művészetek Háza</t>
  </si>
  <si>
    <t>7.</t>
  </si>
  <si>
    <t>9.</t>
  </si>
  <si>
    <t>10.</t>
  </si>
  <si>
    <t>Somogyi Rezső Általános Iskola</t>
  </si>
  <si>
    <t>Csillag-Közi Központi Társulási Óvoda</t>
  </si>
  <si>
    <t>8.</t>
  </si>
  <si>
    <t>11.</t>
  </si>
  <si>
    <t>Összesen:</t>
  </si>
  <si>
    <t>Bevétel megnevezése</t>
  </si>
  <si>
    <t>Kiadás megnevezése</t>
  </si>
  <si>
    <t xml:space="preserve">      Intézményi kiadások</t>
  </si>
  <si>
    <t xml:space="preserve">      OEP intézmény</t>
  </si>
  <si>
    <t xml:space="preserve">       Iparűzési</t>
  </si>
  <si>
    <t xml:space="preserve">       Kommunális</t>
  </si>
  <si>
    <t>Ebből:</t>
  </si>
  <si>
    <t xml:space="preserve">       Idegenforgalmi</t>
  </si>
  <si>
    <t xml:space="preserve">      Személyi juttatások</t>
  </si>
  <si>
    <t xml:space="preserve">       SZJA </t>
  </si>
  <si>
    <t xml:space="preserve">       Egyéb sajátos bevétel</t>
  </si>
  <si>
    <t xml:space="preserve">       Bírság, pótlék,egyéb</t>
  </si>
  <si>
    <t xml:space="preserve">      Normatív visszafizetés</t>
  </si>
  <si>
    <t xml:space="preserve">       Normatív hozzájárulás</t>
  </si>
  <si>
    <t xml:space="preserve">       Kötött felhasználású normatíva</t>
  </si>
  <si>
    <t xml:space="preserve">       Tűzoltóság</t>
  </si>
  <si>
    <t xml:space="preserve">       Színház támogatás</t>
  </si>
  <si>
    <t xml:space="preserve">       Központosított </t>
  </si>
  <si>
    <t>B E V É T E L E K</t>
  </si>
  <si>
    <t>K I A D Á S O K</t>
  </si>
  <si>
    <t>Saját</t>
  </si>
  <si>
    <t>Normatíva</t>
  </si>
  <si>
    <t>Hitel</t>
  </si>
  <si>
    <t>Személyi</t>
  </si>
  <si>
    <t>Járulékok</t>
  </si>
  <si>
    <t xml:space="preserve">      </t>
  </si>
  <si>
    <t>Összesen</t>
  </si>
  <si>
    <t>Pedagógiai Szakszolgálatok</t>
  </si>
  <si>
    <t xml:space="preserve">Kistérségi Szociális Szolgálat </t>
  </si>
  <si>
    <t>Bevételek</t>
  </si>
  <si>
    <t>Ingatlan értékesítés</t>
  </si>
  <si>
    <t>Szennyvízcsatorna hálózat II. ütem előkészítéséhez kötvény</t>
  </si>
  <si>
    <t xml:space="preserve">Kórház felújítás, beruházásra átvett OEP-től </t>
  </si>
  <si>
    <t>Kölcsönök visszatérülése</t>
  </si>
  <si>
    <t>Időskorúak, fogyatékkal élők nappali ell. ÉAOP.4.1.3. pályázat</t>
  </si>
  <si>
    <t>Kiadások</t>
  </si>
  <si>
    <t>Kölcsönök nyújtása</t>
  </si>
  <si>
    <t>Városi Könyvtár eszközbeszerzés</t>
  </si>
  <si>
    <t xml:space="preserve">Ingatlankezelés szakfeladat épületfelújítás </t>
  </si>
  <si>
    <t>Hiteltörlesztés</t>
  </si>
  <si>
    <t>Szüret út kisajátításának költsége testületi döntés alapján</t>
  </si>
  <si>
    <t>Gépkocsi lízingdíj hivatal</t>
  </si>
  <si>
    <t>Tartalékok</t>
  </si>
  <si>
    <t>12.</t>
  </si>
  <si>
    <t>13.</t>
  </si>
  <si>
    <t>14.</t>
  </si>
  <si>
    <t>15.</t>
  </si>
  <si>
    <t>16.</t>
  </si>
  <si>
    <t>17.</t>
  </si>
  <si>
    <t>18.</t>
  </si>
  <si>
    <t>Ellátottak pénzbeli juttatása</t>
  </si>
  <si>
    <t>19.</t>
  </si>
  <si>
    <t>20.</t>
  </si>
  <si>
    <t>21.</t>
  </si>
  <si>
    <t xml:space="preserve">      Felhalmozási célú hitel törlesztése</t>
  </si>
  <si>
    <t>Városközpont funkcióbővítő fejlesztése ÉAOP-5.1.1/D támogatás</t>
  </si>
  <si>
    <t>Városközpont funkcióbővítő fejlesztéséhez kötvény felhasználás</t>
  </si>
  <si>
    <t xml:space="preserve">Szennyvízcsatorna hálózat II. ütem </t>
  </si>
  <si>
    <t>Szennyvízcsatorna hálózat II. ütem ÁFA összege</t>
  </si>
  <si>
    <t xml:space="preserve">Időskorúak és fogyatékkal élők nappali ellátása </t>
  </si>
  <si>
    <t xml:space="preserve">Városközpont funkcióbővítő fejlesztése </t>
  </si>
  <si>
    <t>Felhalmozási célú kamatbevételek</t>
  </si>
  <si>
    <t>Felhalmozási célú kamatkiadások</t>
  </si>
  <si>
    <t xml:space="preserve">      Kamat kiadás</t>
  </si>
  <si>
    <t xml:space="preserve">       Fejlesztési célú, vis maior CÉDE támogatás</t>
  </si>
  <si>
    <t>adatok ezer Ft-ban</t>
  </si>
  <si>
    <t xml:space="preserve">Bevételek </t>
  </si>
  <si>
    <t xml:space="preserve">Kiadások </t>
  </si>
  <si>
    <t>1. Az önkormányzathoz tartozó intézmények felhalmozási bevételei</t>
  </si>
  <si>
    <t>2. Az önkormányzathoz tartozó intézmények felhalmozási kiadásai</t>
  </si>
  <si>
    <t>Ellátottak juttatásai</t>
  </si>
  <si>
    <t>Dologi és támogatás</t>
  </si>
  <si>
    <t>Felhalmo-zás</t>
  </si>
  <si>
    <t xml:space="preserve">     Beruházások</t>
  </si>
  <si>
    <t xml:space="preserve">     Felújítások</t>
  </si>
  <si>
    <t xml:space="preserve">     Egyéb felhalmozási célú kiadások</t>
  </si>
  <si>
    <t>Intézmény neve</t>
  </si>
  <si>
    <t>Pénzma- radvány</t>
  </si>
  <si>
    <t>Támogatás értékű és átvett pénzesz- köz</t>
  </si>
  <si>
    <t>Kistérségi és egyéb támogatás</t>
  </si>
  <si>
    <t>Önkormány-zati támogatás</t>
  </si>
  <si>
    <t xml:space="preserve">      Működési célú hitel törlesztés</t>
  </si>
  <si>
    <t>A</t>
  </si>
  <si>
    <t>B</t>
  </si>
  <si>
    <t>C</t>
  </si>
  <si>
    <t>D</t>
  </si>
  <si>
    <t>E</t>
  </si>
  <si>
    <t>F</t>
  </si>
  <si>
    <t>G</t>
  </si>
  <si>
    <t>H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</si>
  <si>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</si>
  <si>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</si>
  <si>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</si>
  <si>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</si>
  <si>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</si>
  <si>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</si>
  <si>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</si>
  <si>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</si>
  <si>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</si>
  <si>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</si>
  <si>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</si>
  <si>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</si>
  <si>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</si>
  <si>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</si>
  <si>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</si>
  <si>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</si>
  <si>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</si>
  <si>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</si>
  <si>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</si>
  <si>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</si>
  <si>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</si>
  <si>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</si>
  <si>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</si>
  <si>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I</t>
  </si>
  <si>
    <t>J</t>
  </si>
  <si>
    <t>K</t>
  </si>
  <si>
    <t>L</t>
  </si>
  <si>
    <t>M</t>
  </si>
  <si>
    <t>N</t>
  </si>
  <si>
    <t>O</t>
  </si>
  <si>
    <t>P</t>
  </si>
  <si>
    <t>Q</t>
  </si>
  <si>
    <t>Mindösszesen</t>
  </si>
  <si>
    <t>Egészségügyi Alapellátás</t>
  </si>
  <si>
    <t xml:space="preserve">Polgári Védelmi Társulás </t>
  </si>
  <si>
    <t>Felső-Szabolcsi Kórház</t>
  </si>
  <si>
    <t>OEP finanszírozott összesen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</si>
  <si>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</si>
  <si>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</si>
  <si>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</si>
  <si>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</si>
  <si>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</si>
  <si>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</si>
  <si>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</si>
  <si>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</si>
  <si>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</si>
  <si>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</si>
  <si>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</si>
  <si>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</si>
  <si>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</si>
  <si>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</si>
  <si>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</si>
  <si>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</si>
  <si>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</si>
  <si>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</si>
  <si>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</si>
  <si>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</si>
  <si>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</si>
  <si>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</si>
  <si>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</si>
  <si>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</si>
  <si>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</si>
  <si>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</si>
  <si>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</si>
  <si>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</si>
  <si>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</si>
  <si>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</si>
  <si>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</si>
  <si>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</si>
  <si>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</si>
  <si>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</si>
  <si>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</si>
  <si>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</si>
  <si>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</si>
  <si>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</si>
  <si>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</si>
  <si>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</si>
  <si>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</si>
  <si>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</si>
  <si>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</si>
  <si>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</si>
  <si>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</si>
  <si>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</si>
  <si>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</si>
  <si>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</si>
  <si>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</si>
  <si>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</si>
  <si>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</si>
  <si>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</si>
  <si>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</si>
  <si>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</si>
  <si>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</si>
  <si>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</si>
  <si>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</si>
  <si>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adatok ezer forintban</t>
  </si>
  <si>
    <t xml:space="preserve">      Ellátottak pénzbeli juttatásai</t>
  </si>
  <si>
    <t>Bessenyei György Gimnázium</t>
  </si>
  <si>
    <t>II. Rákóczi Ferenc Szakközép- Szakiskola</t>
  </si>
  <si>
    <t>Teichmann Vilmos Általános Iskola</t>
  </si>
  <si>
    <t>Weiner Leó Alapfokú Zene és Művészeti</t>
  </si>
  <si>
    <t>Szennyvízcsatorna hálózat II. ütem előkészítéséhez KEOP támogatás</t>
  </si>
  <si>
    <t>Időskorúak és fogyatékkal élők nappali ellátása kötvény felhasználás</t>
  </si>
  <si>
    <t>Önkormányzati vagyon, egyéb helyiségek bérbeadásának bevétele</t>
  </si>
  <si>
    <t>Szennyvízcsatorna hálózat II. ütem előkészítéséhez lakossági hozzájárulás</t>
  </si>
  <si>
    <t>Számítástechn.eszközbeszerzés(okt. intézm.)TIOP-1.1.1-07/1 támogatás</t>
  </si>
  <si>
    <t>Számítástechnikai eszközök beszerzése oktatási intézmények részére</t>
  </si>
  <si>
    <t>Támogatások, kiegészítések</t>
  </si>
  <si>
    <t>Költségvetési bevételek összesen:</t>
  </si>
  <si>
    <t>Rövid lejáratú hitelek felvétele</t>
  </si>
  <si>
    <t>Likvid hitelek felvétele</t>
  </si>
  <si>
    <t>Hosszú lejáratú hitelek felvétele</t>
  </si>
  <si>
    <t>Forgatási célú értékpapírok értékesítése</t>
  </si>
  <si>
    <t>Finanszírozási bevételek (16+…+24)</t>
  </si>
  <si>
    <t>ÖSSZES BEVÉTEL (13+14+15+25)</t>
  </si>
  <si>
    <t>Költségvetési hiány:</t>
  </si>
  <si>
    <t>Személyi juttatások</t>
  </si>
  <si>
    <t>Munkaadókat terhelő járulék</t>
  </si>
  <si>
    <t>Pénzmaradvány átadás</t>
  </si>
  <si>
    <t>Működési célú kamatkiadások</t>
  </si>
  <si>
    <t>Költségvetési kiadások összesen:</t>
  </si>
  <si>
    <t>Rövid lejáratú hitelek törlesztése</t>
  </si>
  <si>
    <t>Likvid hitelek törlesztése</t>
  </si>
  <si>
    <t>Hosszú lejáratú hitelek törlesztése</t>
  </si>
  <si>
    <t>Forgatási célú értékpapírok vásárlása</t>
  </si>
  <si>
    <t>Függő, átfutó, kiegyenlítő kiadások</t>
  </si>
  <si>
    <t>Finanszírozási kiadások (14+…+24)</t>
  </si>
  <si>
    <t>ÖSSZES KIADÁS (13+25)</t>
  </si>
  <si>
    <t>Költségvetési többlet:</t>
  </si>
  <si>
    <t>Pénzügyi befektetésekből származó bevétel</t>
  </si>
  <si>
    <t>Fejlesztési és vis maior támogatás</t>
  </si>
  <si>
    <t>Támogatásértékű bevételek</t>
  </si>
  <si>
    <t>Előző évi felh. célú pénzm. igénybev.</t>
  </si>
  <si>
    <t>Függő, átfutó, kiegyenlítő bevételek</t>
  </si>
  <si>
    <t>Felújítás</t>
  </si>
  <si>
    <t>Intézményi beruházás</t>
  </si>
  <si>
    <t>Támogatásértékű felhalmozási kiadás</t>
  </si>
  <si>
    <t>Pénzügyi befektetések kiadásai</t>
  </si>
  <si>
    <t>Felhalmozási célú pénzmaradvány átadás</t>
  </si>
  <si>
    <t>Egyéb kiadások</t>
  </si>
  <si>
    <t>Működési célú kölcsön visszatérülése</t>
  </si>
  <si>
    <t>Intézményi működési bevételek</t>
  </si>
  <si>
    <t>Önkormányzat sajátos működési bevételei</t>
  </si>
  <si>
    <t>Működési célú pénzeszköz átvétel</t>
  </si>
  <si>
    <t>Előző évi működési célú pénzmaradvány igénybevétele</t>
  </si>
  <si>
    <t>Rövid lejáratú hitelek felvétel</t>
  </si>
  <si>
    <t>Előző évi vállalkozási eredmény igénybevétel</t>
  </si>
  <si>
    <t>Befektetési célú értékpapírok értékesítése</t>
  </si>
  <si>
    <t>Társadalom- és szociálpolitikai juttatás</t>
  </si>
  <si>
    <t>Támogatásértékű kiadás,pénzeszköz átadás</t>
  </si>
  <si>
    <t>Garancia- és kezességvállalás kiadásai</t>
  </si>
  <si>
    <t>Befektetési célú értékpapírok vásárlása</t>
  </si>
  <si>
    <t>Tárgyi eszközök, immateriális javak értékesítése</t>
  </si>
  <si>
    <t>Önkormányzatok sajátos felhalmozási bevételei</t>
  </si>
  <si>
    <t>Központosított előirányzatokból támogatás</t>
  </si>
  <si>
    <t>Átvett pénzeszköz államháztartáson kívülről</t>
  </si>
  <si>
    <t xml:space="preserve">      Munkaadót terhelő járulék</t>
  </si>
  <si>
    <t xml:space="preserve">      Dologi és egyéb folyó kiadások</t>
  </si>
  <si>
    <t xml:space="preserve">      Támogatásértékű kiadás, működési pénzeszköz átadás</t>
  </si>
  <si>
    <t xml:space="preserve">  Társadalom- és szociálpolitikai juttatás</t>
  </si>
  <si>
    <t xml:space="preserve">  Garancia- és kezességvállalás kiadásai</t>
  </si>
  <si>
    <t xml:space="preserve">  Működési célú pénzmaradvány átadás</t>
  </si>
  <si>
    <t xml:space="preserve">     Támogatásértékű és felhalmozási pénzeszköz átadás</t>
  </si>
  <si>
    <t>Felhalmozási célú pénzeszközátadás</t>
  </si>
  <si>
    <t xml:space="preserve"> Pénzügyi befektetések kiadásai</t>
  </si>
  <si>
    <t>Forgatási célú értékpapír beváltása</t>
  </si>
  <si>
    <t>Befektetési célú értékpapír beváltása</t>
  </si>
  <si>
    <t xml:space="preserve">  Forgatási célú értékpapír beváltása, vásárlása</t>
  </si>
  <si>
    <t xml:space="preserve">  Befektetési célú értékpapír beváltása, vásárlása</t>
  </si>
  <si>
    <t xml:space="preserve">      Likvid hitelek törlesztése</t>
  </si>
  <si>
    <t xml:space="preserve">  Kölcsönök nyújtása</t>
  </si>
  <si>
    <r>
      <t xml:space="preserve">         </t>
    </r>
    <r>
      <rPr>
        <sz val="8"/>
        <rFont val="Arial CE"/>
        <family val="2"/>
      </rPr>
      <t>ebből OEP-től átvett</t>
    </r>
  </si>
  <si>
    <t xml:space="preserve">         ebből OEP-től átvett</t>
  </si>
  <si>
    <t xml:space="preserve">       Átengedett központi adó gépjármű</t>
  </si>
  <si>
    <t xml:space="preserve">        OEP finansz. intézmény működési bevétel</t>
  </si>
  <si>
    <t xml:space="preserve">       Központosított szociális támogatás</t>
  </si>
  <si>
    <t>Forgatási célú értékpapírok kibocsátása</t>
  </si>
  <si>
    <t>Befektetési célú értékpapír kibocsátása</t>
  </si>
  <si>
    <t>Forgatási célú értékpapír kibocsátása</t>
  </si>
  <si>
    <t xml:space="preserve"> Felhalmozási célú kamatkiadások</t>
  </si>
  <si>
    <t xml:space="preserve"> Felhalmozási célú pénzmaradvány átadás</t>
  </si>
  <si>
    <t xml:space="preserve">     Céltartalék</t>
  </si>
  <si>
    <t xml:space="preserve">     Általános tartalék</t>
  </si>
  <si>
    <t xml:space="preserve">     Felhalmozási tartalék</t>
  </si>
  <si>
    <t>Dologi és egyéb folyó kiadások</t>
  </si>
  <si>
    <t xml:space="preserve">    Normatív visszafizetés</t>
  </si>
  <si>
    <t xml:space="preserve"> Felhalmozási célú kölcsönök nyújtása</t>
  </si>
  <si>
    <t>Cél-, címzett és egyéb központi támogatás</t>
  </si>
  <si>
    <t xml:space="preserve">    Felhalmozási célú kamatbevételek</t>
  </si>
  <si>
    <t>Finanszírozási célú bevétel (14+…+22)</t>
  </si>
  <si>
    <t>BEVÉTELEK ÖSSZESEN (12+13+23)</t>
  </si>
  <si>
    <t>Fejlesztések visszaigényelhető áfája</t>
  </si>
  <si>
    <t>Működési célú kölcsön nyújtása</t>
  </si>
  <si>
    <t>Bevételek összesen 38+39+54</t>
  </si>
  <si>
    <t>1. Bevételek</t>
  </si>
  <si>
    <t>2. Kiadások</t>
  </si>
  <si>
    <t>Szennyvízcsatorna hálózat II. ütem visszaigényelhető ÁFA-ja</t>
  </si>
  <si>
    <t>KIADÁSOK ÖSSZESEN (12+23)</t>
  </si>
  <si>
    <t>Finanszírozási célú kiadás (13+...+22)</t>
  </si>
  <si>
    <t>2012. terv</t>
  </si>
  <si>
    <t>2012. évi terv</t>
  </si>
  <si>
    <t>2012. évi   terv</t>
  </si>
  <si>
    <t>Önkormányzat</t>
  </si>
  <si>
    <t>Tompos úti tagóvoda ÉAOP-4.1.1/A támogatás</t>
  </si>
  <si>
    <t>Tompos úti tagóvoda ÉAOP-4.1.1/A saját erő kötvény</t>
  </si>
  <si>
    <t>Sportöltöző felújítására pályázat maradvány</t>
  </si>
  <si>
    <t>Sportöltöző felújítására kötvény felhasználás</t>
  </si>
  <si>
    <t>Szociális földprogram támogatása</t>
  </si>
  <si>
    <t>Szüret út kisajátítás pénzmaradványból</t>
  </si>
  <si>
    <t>Városi Könyvtár felhalm. célú támogatás értékű bevétel</t>
  </si>
  <si>
    <t>Tompos úti tagóvoda felújítása</t>
  </si>
  <si>
    <t>Sportöltöző felújítása</t>
  </si>
  <si>
    <t>Belterületi csapadékvízhálózat rekonstrukció tervkészítés</t>
  </si>
  <si>
    <t>Szociális földmunkaprogram</t>
  </si>
  <si>
    <t>Kötvénytörlesztés</t>
  </si>
  <si>
    <t>Helyi értékvédelmi rendelet alapján Önkormányzati saját erő</t>
  </si>
  <si>
    <t>Polg. Hivatal</t>
  </si>
  <si>
    <t>Haszon gépjármű vásárlás</t>
  </si>
  <si>
    <t>Haszon gépjármű értékesítés</t>
  </si>
  <si>
    <t xml:space="preserve">      Önkormányzat</t>
  </si>
  <si>
    <t>Fejlesztési célú kötvény törlesztése</t>
  </si>
  <si>
    <t>60.</t>
  </si>
  <si>
    <t>61.</t>
  </si>
  <si>
    <t>Kiadások összesen 89+98</t>
  </si>
  <si>
    <t>KÖLTSÉGVETÉSI HIÁNY, TÖBBLET 38-89</t>
  </si>
  <si>
    <t>1.   Működési bevételek</t>
  </si>
  <si>
    <t xml:space="preserve">    1.1.  Intézményi működési bevételek</t>
  </si>
  <si>
    <t xml:space="preserve">    1.2. Önkormányzat sajátos működési bevételei</t>
  </si>
  <si>
    <t>2. Támogatások</t>
  </si>
  <si>
    <t>3. Felhalmozási és tőkejellegű bevételek</t>
  </si>
  <si>
    <t xml:space="preserve">     3.1. Tárgyi eszközök, immateriális javak értékesítése</t>
  </si>
  <si>
    <t xml:space="preserve">     3.2. Önkormányzat sajátos tőke jellegű bevétele</t>
  </si>
  <si>
    <t xml:space="preserve">     3.3. Pénzügyi befektetések bevételei</t>
  </si>
  <si>
    <t xml:space="preserve">     3.4. Egyéb felhalmozási célú bevételek</t>
  </si>
  <si>
    <t>4. Támogatás értékű bevétel</t>
  </si>
  <si>
    <t xml:space="preserve">     4.1. Támogatás értékű működési bevétel</t>
  </si>
  <si>
    <r>
      <t xml:space="preserve">     4.</t>
    </r>
    <r>
      <rPr>
        <sz val="8"/>
        <rFont val="Arial CE"/>
        <family val="2"/>
      </rPr>
      <t>2. Támogatás értékű felhalmozási bevétel</t>
    </r>
  </si>
  <si>
    <t>5.  Véglegesen átvett pénzeszköz</t>
  </si>
  <si>
    <t xml:space="preserve">    5.1. Működési célú pénzeszköz államháztartáson kívülről</t>
  </si>
  <si>
    <t xml:space="preserve">    5.2. Felhalmozási pénzeszköz államháztartáson kívülről</t>
  </si>
  <si>
    <t>6. Támogatási kölcsönök visszatérülése</t>
  </si>
  <si>
    <t>7. Pénzforgalom nélküli bevétel</t>
  </si>
  <si>
    <t xml:space="preserve">    7.1. Előző évi várható pénzmaradvány igénybevétel működési</t>
  </si>
  <si>
    <t xml:space="preserve">    7.2. Előző évi várható pénzmaradvány igénybevétel felhalmozási</t>
  </si>
  <si>
    <t xml:space="preserve">    7.3. Előző évek vállalkozási maradvány igénybevétele</t>
  </si>
  <si>
    <t>8. Értékpapírok értékesítése, kibocsátása</t>
  </si>
  <si>
    <t xml:space="preserve">   8.1. Forgatási célú értékpapírok bevételei</t>
  </si>
  <si>
    <t xml:space="preserve">   8.2. Befektetési célú értékpapírok bevételei</t>
  </si>
  <si>
    <t>9. Kötvények kibocsátásának bevétele</t>
  </si>
  <si>
    <t>10. Hitelek</t>
  </si>
  <si>
    <t xml:space="preserve">    10.1. Működési célú hitel felvétele</t>
  </si>
  <si>
    <t xml:space="preserve">    10.2. Likvid hitel felvétele</t>
  </si>
  <si>
    <t xml:space="preserve">    10.3. Felhalmozási célú hitel felvétele</t>
  </si>
  <si>
    <t>11. Függő, átfutó bevételek</t>
  </si>
  <si>
    <t xml:space="preserve">       ÖNHIKI támogatás</t>
  </si>
  <si>
    <t>1.  Működési kiadások</t>
  </si>
  <si>
    <t>2.  Felhalmozási kiadások</t>
  </si>
  <si>
    <t>3. Tartalék</t>
  </si>
  <si>
    <t>4. Egyéb kiadások</t>
  </si>
  <si>
    <t>5. Hitelek törlesztése</t>
  </si>
  <si>
    <t>6. Értékpapírok beváltása, vásárlása</t>
  </si>
  <si>
    <t>7.Függő, átfutó kiadások</t>
  </si>
  <si>
    <t>Költségvetési bevételek összesen 1+13+23+28+33+36</t>
  </si>
  <si>
    <t>Finanszírozási célú műveletek bevétele 44+47+48+52</t>
  </si>
  <si>
    <t>Költségvetési kiadások összesen 56+74+84+88</t>
  </si>
  <si>
    <t>Finanszírozási célú műveletek kiadása 90+94+97</t>
  </si>
  <si>
    <t xml:space="preserve"> KÖLTSÉGVETÉSI HIÁNY PÉNZMARADVÁNY FIGYELEMBEVÉTELÉVEL 39+101</t>
  </si>
  <si>
    <t>FINANSZÍROZÁSI CÉLÚ MŰVELETEK EGYENLEGE 54-98</t>
  </si>
  <si>
    <t>Önállóan működő intézmény összesen</t>
  </si>
  <si>
    <t>Önállóan műk.és gazd. intézmény összesen</t>
  </si>
  <si>
    <t>Beruházási felhalmozási kiadások :</t>
  </si>
  <si>
    <t>Felújítási felhalmozási kiadások :</t>
  </si>
  <si>
    <t>Egyéb felhalmozási kiadások :</t>
  </si>
  <si>
    <t>Sárköz, Pacsirta, Báthori, Erzsébet utcák felújítása</t>
  </si>
  <si>
    <t>Sárköz, Pacsirta, Báthori, Erzsébet utcák felújítása pénzmaradványból</t>
  </si>
  <si>
    <t>2012.évi I.módosítás</t>
  </si>
  <si>
    <t>2012. I.módosítás</t>
  </si>
  <si>
    <t>Kórház épület felújítás</t>
  </si>
  <si>
    <t>Kórház eszközbeszerzés, beruházás</t>
  </si>
  <si>
    <t>A  2012. évi címrend szerinti költségvetési engedélyezett létszámkeret (álláshely)</t>
  </si>
  <si>
    <t>1. Az önállóan gazdálkodó és működő költségvetési intézmények címrend szerinti engedélyezett létszámkerete</t>
  </si>
  <si>
    <t xml:space="preserve">B </t>
  </si>
  <si>
    <t>Sorszám</t>
  </si>
  <si>
    <t>Megnevezés</t>
  </si>
  <si>
    <t>2011. terv  01.01.</t>
  </si>
  <si>
    <t>2011. terv 12.31.</t>
  </si>
  <si>
    <t>2012. terv 01.01.</t>
  </si>
  <si>
    <t>Bessenyei György Gimnázium és Kollégium</t>
  </si>
  <si>
    <t>II. Rákóczi Ferenc Szakközép és Szakisk.</t>
  </si>
  <si>
    <t>Polgári Védelmi Társulás</t>
  </si>
  <si>
    <t>Felső Szabolcsi Kórház</t>
  </si>
  <si>
    <t>Városi Egészségügyi Alapellátás</t>
  </si>
  <si>
    <t>Polgármesteri Hivatal</t>
  </si>
  <si>
    <t>Önállóan működő intézmények összesen</t>
  </si>
  <si>
    <t>Közfoglalkoztatottak</t>
  </si>
  <si>
    <t>2. Az önállóan működő költségvetési intézmények címrend szerinti engedélyezett létszámkerete</t>
  </si>
  <si>
    <t>2011 terv 01.01</t>
  </si>
  <si>
    <t>10/1</t>
  </si>
  <si>
    <t>10/2</t>
  </si>
  <si>
    <t>10/3</t>
  </si>
  <si>
    <r>
      <rPr>
        <sz val="10"/>
        <rFont val="Arial"/>
        <family val="0"/>
      </rPr>
      <t>Weiner Leó Alapfokú Zene és Művészeti Iskola</t>
    </r>
  </si>
  <si>
    <t>10/4</t>
  </si>
  <si>
    <t>10/5</t>
  </si>
  <si>
    <t>Kistérségi Szociális Szolgálat</t>
  </si>
  <si>
    <t>10/6</t>
  </si>
  <si>
    <t>Pedagógiai Szakszolgálatok Kisvárda</t>
  </si>
  <si>
    <t>10/7</t>
  </si>
  <si>
    <t>Kisvárdai Szolgáltató Szervezet</t>
  </si>
  <si>
    <t>2012. mód. 03.01.</t>
  </si>
  <si>
    <t xml:space="preserve">      Polgármesteri Hivatal</t>
  </si>
  <si>
    <t>Tartalék (kötvényből, elkülönített pénzeszközökből)</t>
  </si>
  <si>
    <t>Önkorm. pénzmaradvány (kötvény, elkülönített számla)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</si>
</sst>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_(* #,##0.000_);_(* \(#,##0.000\);_(* &quot;-&quot;??_);_(@_)"/>
    <numFmt numFmtId="176" formatCode="#,##0.0"/>
    <numFmt numFmtId="177" formatCode="0.0000000"/>
    <numFmt numFmtId="178" formatCode="0.000000"/>
    <numFmt numFmtId="179" formatCode="0.0000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,##0\ &quot;Ft&quot;"/>
    <numFmt numFmtId="184" formatCode="&quot;H-&quot;0000"/>
    <numFmt numFmtId="185" formatCode="m\.\ d\."/>
    <numFmt numFmtId="186" formatCode="mmm/yyyy"/>
    <numFmt numFmtId="187" formatCode="#,##0_ ;\-#,##0\ "/>
    <numFmt numFmtId="188" formatCode="#,###"/>
    <numFmt numFmtId="189" formatCode="#"/>
    <numFmt numFmtId="190" formatCode="#,##0.000"/>
    <numFmt numFmtId="191" formatCode="#,##0.0000"/>
    <numFmt numFmtId="192" formatCode="00"/>
    <numFmt numFmtId="193" formatCode="[$€-2]\ #\ ##,000_);[Red]\([$€-2]\ #\ ##,000\)"/>
    <numFmt numFmtId="194" formatCode="[$-40E]yyyy\.\ mmmm\ d\."/>
    <numFmt numFmtId="195" formatCode="_-* #,##0\ _F_t_-;\-* #,##0\ _F_t_-;_-* &quot;-&quot;??\ _F_t_-;_-@_-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name val="Arial"/>
      <family val="0"/>
    </font>
    <font>
      <b/>
      <sz val="12"/>
      <name val="Arial CE"/>
      <family val="0"/>
    </font>
    <font>
      <sz val="11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b/>
      <sz val="8"/>
      <name val="Arial CE"/>
      <family val="2"/>
    </font>
    <font>
      <i/>
      <sz val="10"/>
      <name val="Arial CE"/>
      <family val="0"/>
    </font>
    <font>
      <i/>
      <sz val="10"/>
      <name val="Arial"/>
      <family val="0"/>
    </font>
    <font>
      <b/>
      <sz val="11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9"/>
      <name val="Arial CE"/>
      <family val="2"/>
    </font>
    <font>
      <b/>
      <i/>
      <sz val="12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8" fillId="4" borderId="7" applyNumberFormat="0" applyFont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7" borderId="0" applyNumberFormat="0" applyBorder="0" applyAlignment="0" applyProtection="0"/>
    <xf numFmtId="0" fontId="36" fillId="7" borderId="0" applyNumberFormat="0" applyBorder="0" applyAlignment="0" applyProtection="0"/>
    <xf numFmtId="0" fontId="37" fillId="16" borderId="1" applyNumberFormat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63">
      <alignment/>
      <protection/>
    </xf>
    <xf numFmtId="0" fontId="9" fillId="0" borderId="10" xfId="63" applyFont="1" applyBorder="1">
      <alignment/>
      <protection/>
    </xf>
    <xf numFmtId="0" fontId="6" fillId="0" borderId="10" xfId="63" applyFont="1" applyBorder="1">
      <alignment/>
      <protection/>
    </xf>
    <xf numFmtId="0" fontId="8" fillId="0" borderId="0" xfId="63" applyFont="1">
      <alignment/>
      <protection/>
    </xf>
    <xf numFmtId="0" fontId="0" fillId="0" borderId="0" xfId="64">
      <alignment/>
      <protection/>
    </xf>
    <xf numFmtId="3" fontId="5" fillId="0" borderId="11" xfId="64" applyNumberFormat="1" applyFont="1" applyBorder="1">
      <alignment/>
      <protection/>
    </xf>
    <xf numFmtId="3" fontId="5" fillId="0" borderId="12" xfId="64" applyNumberFormat="1" applyFont="1" applyBorder="1">
      <alignment/>
      <protection/>
    </xf>
    <xf numFmtId="3" fontId="5" fillId="0" borderId="13" xfId="64" applyNumberFormat="1" applyFont="1" applyBorder="1">
      <alignment/>
      <protection/>
    </xf>
    <xf numFmtId="3" fontId="12" fillId="0" borderId="14" xfId="64" applyNumberFormat="1" applyFont="1" applyBorder="1">
      <alignment/>
      <protection/>
    </xf>
    <xf numFmtId="3" fontId="12" fillId="0" borderId="15" xfId="64" applyNumberFormat="1" applyFont="1" applyBorder="1">
      <alignment/>
      <protection/>
    </xf>
    <xf numFmtId="3" fontId="0" fillId="0" borderId="0" xfId="64" applyNumberFormat="1">
      <alignment/>
      <protection/>
    </xf>
    <xf numFmtId="3" fontId="5" fillId="0" borderId="16" xfId="64" applyNumberFormat="1" applyFont="1" applyBorder="1">
      <alignment/>
      <protection/>
    </xf>
    <xf numFmtId="3" fontId="5" fillId="0" borderId="17" xfId="64" applyNumberFormat="1" applyFont="1" applyBorder="1">
      <alignment/>
      <protection/>
    </xf>
    <xf numFmtId="3" fontId="5" fillId="0" borderId="18" xfId="64" applyNumberFormat="1" applyFont="1" applyBorder="1">
      <alignment/>
      <protection/>
    </xf>
    <xf numFmtId="3" fontId="12" fillId="0" borderId="19" xfId="64" applyNumberFormat="1" applyFont="1" applyBorder="1">
      <alignment/>
      <protection/>
    </xf>
    <xf numFmtId="3" fontId="5" fillId="0" borderId="20" xfId="64" applyNumberFormat="1" applyFont="1" applyBorder="1">
      <alignment/>
      <protection/>
    </xf>
    <xf numFmtId="3" fontId="5" fillId="0" borderId="21" xfId="64" applyNumberFormat="1" applyFont="1" applyBorder="1">
      <alignment/>
      <protection/>
    </xf>
    <xf numFmtId="3" fontId="5" fillId="0" borderId="22" xfId="64" applyNumberFormat="1" applyFont="1" applyBorder="1">
      <alignment/>
      <protection/>
    </xf>
    <xf numFmtId="3" fontId="5" fillId="0" borderId="23" xfId="64" applyNumberFormat="1" applyFont="1" applyBorder="1">
      <alignment/>
      <protection/>
    </xf>
    <xf numFmtId="3" fontId="5" fillId="0" borderId="24" xfId="64" applyNumberFormat="1" applyFont="1" applyBorder="1">
      <alignment/>
      <protection/>
    </xf>
    <xf numFmtId="3" fontId="5" fillId="0" borderId="25" xfId="64" applyNumberFormat="1" applyFont="1" applyBorder="1">
      <alignment/>
      <protection/>
    </xf>
    <xf numFmtId="0" fontId="0" fillId="0" borderId="0" xfId="64" applyFont="1">
      <alignment/>
      <protection/>
    </xf>
    <xf numFmtId="3" fontId="0" fillId="0" borderId="0" xfId="64" applyNumberFormat="1" applyFont="1">
      <alignment/>
      <protection/>
    </xf>
    <xf numFmtId="3" fontId="8" fillId="0" borderId="0" xfId="64" applyNumberFormat="1" applyFont="1">
      <alignment/>
      <protection/>
    </xf>
    <xf numFmtId="3" fontId="0" fillId="0" borderId="12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0" fontId="0" fillId="0" borderId="0" xfId="61">
      <alignment/>
      <protection/>
    </xf>
    <xf numFmtId="3" fontId="0" fillId="0" borderId="26" xfId="61" applyNumberFormat="1" applyBorder="1">
      <alignment/>
      <protection/>
    </xf>
    <xf numFmtId="0" fontId="0" fillId="0" borderId="0" xfId="61" applyFill="1" applyBorder="1">
      <alignment/>
      <protection/>
    </xf>
    <xf numFmtId="0" fontId="0" fillId="0" borderId="0" xfId="61" applyBorder="1">
      <alignment/>
      <protection/>
    </xf>
    <xf numFmtId="3" fontId="15" fillId="0" borderId="27" xfId="63" applyNumberFormat="1" applyFont="1" applyBorder="1">
      <alignment/>
      <protection/>
    </xf>
    <xf numFmtId="3" fontId="7" fillId="0" borderId="26" xfId="63" applyNumberFormat="1" applyFont="1" applyBorder="1">
      <alignment/>
      <protection/>
    </xf>
    <xf numFmtId="3" fontId="15" fillId="0" borderId="26" xfId="63" applyNumberFormat="1" applyFont="1" applyBorder="1">
      <alignment/>
      <protection/>
    </xf>
    <xf numFmtId="0" fontId="7" fillId="0" borderId="26" xfId="63" applyFont="1" applyBorder="1">
      <alignment/>
      <protection/>
    </xf>
    <xf numFmtId="0" fontId="15" fillId="0" borderId="26" xfId="63" applyFont="1" applyBorder="1">
      <alignment/>
      <protection/>
    </xf>
    <xf numFmtId="3" fontId="15" fillId="6" borderId="28" xfId="63" applyNumberFormat="1" applyFont="1" applyFill="1" applyBorder="1">
      <alignment/>
      <protection/>
    </xf>
    <xf numFmtId="3" fontId="0" fillId="0" borderId="29" xfId="61" applyNumberFormat="1" applyBorder="1">
      <alignment/>
      <protection/>
    </xf>
    <xf numFmtId="3" fontId="0" fillId="16" borderId="27" xfId="61" applyNumberFormat="1" applyFill="1" applyBorder="1">
      <alignment/>
      <protection/>
    </xf>
    <xf numFmtId="3" fontId="0" fillId="16" borderId="26" xfId="61" applyNumberFormat="1" applyFill="1" applyBorder="1">
      <alignment/>
      <protection/>
    </xf>
    <xf numFmtId="3" fontId="5" fillId="0" borderId="0" xfId="64" applyNumberFormat="1" applyFont="1" applyBorder="1">
      <alignment/>
      <protection/>
    </xf>
    <xf numFmtId="3" fontId="8" fillId="6" borderId="30" xfId="61" applyNumberFormat="1" applyFont="1" applyFill="1" applyBorder="1">
      <alignment/>
      <protection/>
    </xf>
    <xf numFmtId="3" fontId="7" fillId="0" borderId="13" xfId="63" applyNumberFormat="1" applyFont="1" applyBorder="1">
      <alignment/>
      <protection/>
    </xf>
    <xf numFmtId="0" fontId="6" fillId="0" borderId="11" xfId="63" applyFont="1" applyBorder="1">
      <alignment/>
      <protection/>
    </xf>
    <xf numFmtId="0" fontId="6" fillId="0" borderId="28" xfId="63" applyFont="1" applyBorder="1" applyAlignment="1">
      <alignment horizontal="center"/>
      <protection/>
    </xf>
    <xf numFmtId="0" fontId="4" fillId="0" borderId="31" xfId="64" applyFont="1" applyBorder="1" applyAlignment="1">
      <alignment horizontal="centerContinuous"/>
      <protection/>
    </xf>
    <xf numFmtId="0" fontId="4" fillId="0" borderId="30" xfId="64" applyFont="1" applyBorder="1" applyAlignment="1">
      <alignment horizontal="centerContinuous"/>
      <protection/>
    </xf>
    <xf numFmtId="0" fontId="0" fillId="0" borderId="32" xfId="64" applyFont="1" applyBorder="1" applyAlignment="1">
      <alignment horizontal="center"/>
      <protection/>
    </xf>
    <xf numFmtId="0" fontId="3" fillId="0" borderId="32" xfId="58" applyFont="1" applyBorder="1" applyAlignment="1">
      <alignment horizontal="center"/>
      <protection/>
    </xf>
    <xf numFmtId="0" fontId="3" fillId="0" borderId="28" xfId="58" applyFont="1" applyBorder="1" applyAlignment="1">
      <alignment horizontal="center"/>
      <protection/>
    </xf>
    <xf numFmtId="0" fontId="9" fillId="16" borderId="33" xfId="64" applyFont="1" applyFill="1" applyBorder="1" applyAlignment="1">
      <alignment vertical="top" wrapText="1"/>
      <protection/>
    </xf>
    <xf numFmtId="0" fontId="9" fillId="16" borderId="33" xfId="64" applyFont="1" applyFill="1" applyBorder="1" applyAlignment="1">
      <alignment vertical="center" wrapText="1"/>
      <protection/>
    </xf>
    <xf numFmtId="0" fontId="0" fillId="0" borderId="34" xfId="64" applyFont="1" applyBorder="1" applyAlignment="1">
      <alignment horizontal="center"/>
      <protection/>
    </xf>
    <xf numFmtId="0" fontId="0" fillId="0" borderId="35" xfId="64" applyBorder="1">
      <alignment/>
      <protection/>
    </xf>
    <xf numFmtId="0" fontId="0" fillId="0" borderId="36" xfId="64" applyBorder="1">
      <alignment/>
      <protection/>
    </xf>
    <xf numFmtId="0" fontId="0" fillId="0" borderId="37" xfId="64" applyBorder="1">
      <alignment/>
      <protection/>
    </xf>
    <xf numFmtId="0" fontId="0" fillId="0" borderId="14" xfId="64" applyFont="1" applyBorder="1">
      <alignment/>
      <protection/>
    </xf>
    <xf numFmtId="0" fontId="0" fillId="0" borderId="36" xfId="61" applyBorder="1">
      <alignment/>
      <protection/>
    </xf>
    <xf numFmtId="0" fontId="0" fillId="0" borderId="34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11" xfId="61" applyFont="1" applyBorder="1">
      <alignment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1" xfId="61" applyBorder="1">
      <alignment/>
      <protection/>
    </xf>
    <xf numFmtId="0" fontId="12" fillId="6" borderId="35" xfId="61" applyFont="1" applyFill="1" applyBorder="1" applyAlignment="1">
      <alignment vertical="center"/>
      <protection/>
    </xf>
    <xf numFmtId="0" fontId="0" fillId="0" borderId="37" xfId="61" applyBorder="1">
      <alignment/>
      <protection/>
    </xf>
    <xf numFmtId="0" fontId="0" fillId="0" borderId="14" xfId="61" applyFont="1" applyBorder="1">
      <alignment/>
      <protection/>
    </xf>
    <xf numFmtId="0" fontId="0" fillId="0" borderId="36" xfId="0" applyBorder="1" applyAlignment="1">
      <alignment/>
    </xf>
    <xf numFmtId="0" fontId="0" fillId="0" borderId="14" xfId="0" applyBorder="1" applyAlignment="1">
      <alignment/>
    </xf>
    <xf numFmtId="0" fontId="0" fillId="0" borderId="40" xfId="0" applyBorder="1" applyAlignment="1">
      <alignment/>
    </xf>
    <xf numFmtId="0" fontId="6" fillId="0" borderId="41" xfId="63" applyFont="1" applyBorder="1" applyAlignment="1">
      <alignment horizontal="center"/>
      <protection/>
    </xf>
    <xf numFmtId="3" fontId="15" fillId="0" borderId="29" xfId="63" applyNumberFormat="1" applyFont="1" applyBorder="1">
      <alignment/>
      <protection/>
    </xf>
    <xf numFmtId="3" fontId="7" fillId="0" borderId="42" xfId="63" applyNumberFormat="1" applyFont="1" applyBorder="1">
      <alignment/>
      <protection/>
    </xf>
    <xf numFmtId="188" fontId="6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88" fontId="9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88" fontId="9" fillId="0" borderId="41" xfId="0" applyNumberFormat="1" applyFont="1" applyFill="1" applyBorder="1" applyAlignment="1">
      <alignment horizontal="left" vertical="center" wrapText="1" indent="1"/>
    </xf>
    <xf numFmtId="3" fontId="7" fillId="0" borderId="29" xfId="63" applyNumberFormat="1" applyFont="1" applyBorder="1">
      <alignment/>
      <protection/>
    </xf>
    <xf numFmtId="3" fontId="7" fillId="0" borderId="27" xfId="63" applyNumberFormat="1" applyFont="1" applyBorder="1">
      <alignment/>
      <protection/>
    </xf>
    <xf numFmtId="3" fontId="15" fillId="0" borderId="28" xfId="63" applyNumberFormat="1" applyFont="1" applyBorder="1">
      <alignment/>
      <protection/>
    </xf>
    <xf numFmtId="188" fontId="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88" fontId="9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88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88" fontId="9" fillId="0" borderId="34" xfId="0" applyNumberFormat="1" applyFont="1" applyFill="1" applyBorder="1" applyAlignment="1">
      <alignment horizontal="left" vertical="center" wrapText="1" indent="1"/>
    </xf>
    <xf numFmtId="0" fontId="7" fillId="0" borderId="0" xfId="63" applyFont="1" applyBorder="1">
      <alignment/>
      <protection/>
    </xf>
    <xf numFmtId="188" fontId="9" fillId="0" borderId="0" xfId="0" applyNumberFormat="1" applyFont="1" applyFill="1" applyBorder="1" applyAlignment="1">
      <alignment horizontal="left" vertical="center" wrapText="1" indent="1"/>
    </xf>
    <xf numFmtId="3" fontId="7" fillId="0" borderId="0" xfId="63" applyNumberFormat="1" applyFont="1" applyBorder="1">
      <alignment/>
      <protection/>
    </xf>
    <xf numFmtId="188" fontId="9" fillId="0" borderId="0" xfId="0" applyNumberFormat="1" applyFont="1" applyFill="1" applyBorder="1" applyAlignment="1">
      <alignment horizontal="right" vertical="center" wrapText="1" indent="1"/>
    </xf>
    <xf numFmtId="3" fontId="15" fillId="0" borderId="0" xfId="63" applyNumberFormat="1" applyFont="1" applyBorder="1">
      <alignment/>
      <protection/>
    </xf>
    <xf numFmtId="0" fontId="7" fillId="0" borderId="46" xfId="63" applyFont="1" applyBorder="1" applyAlignment="1">
      <alignment horizontal="center"/>
      <protection/>
    </xf>
    <xf numFmtId="0" fontId="9" fillId="0" borderId="47" xfId="63" applyFont="1" applyBorder="1">
      <alignment/>
      <protection/>
    </xf>
    <xf numFmtId="3" fontId="15" fillId="0" borderId="48" xfId="63" applyNumberFormat="1" applyFont="1" applyBorder="1">
      <alignment/>
      <protection/>
    </xf>
    <xf numFmtId="0" fontId="9" fillId="0" borderId="49" xfId="63" applyFont="1" applyBorder="1">
      <alignment/>
      <protection/>
    </xf>
    <xf numFmtId="3" fontId="7" fillId="0" borderId="50" xfId="63" applyNumberFormat="1" applyFont="1" applyBorder="1">
      <alignment/>
      <protection/>
    </xf>
    <xf numFmtId="0" fontId="6" fillId="0" borderId="44" xfId="63" applyFont="1" applyBorder="1">
      <alignment/>
      <protection/>
    </xf>
    <xf numFmtId="0" fontId="9" fillId="0" borderId="10" xfId="63" applyFont="1" applyBorder="1" applyAlignment="1">
      <alignment vertical="center"/>
      <protection/>
    </xf>
    <xf numFmtId="3" fontId="9" fillId="6" borderId="41" xfId="63" applyNumberFormat="1" applyFont="1" applyFill="1" applyBorder="1">
      <alignment/>
      <protection/>
    </xf>
    <xf numFmtId="0" fontId="7" fillId="0" borderId="51" xfId="63" applyFont="1" applyBorder="1">
      <alignment/>
      <protection/>
    </xf>
    <xf numFmtId="0" fontId="7" fillId="0" borderId="52" xfId="63" applyFont="1" applyBorder="1">
      <alignment/>
      <protection/>
    </xf>
    <xf numFmtId="0" fontId="7" fillId="0" borderId="53" xfId="63" applyFont="1" applyBorder="1">
      <alignment/>
      <protection/>
    </xf>
    <xf numFmtId="3" fontId="15" fillId="6" borderId="30" xfId="63" applyNumberFormat="1" applyFont="1" applyFill="1" applyBorder="1">
      <alignment/>
      <protection/>
    </xf>
    <xf numFmtId="0" fontId="7" fillId="0" borderId="54" xfId="63" applyFont="1" applyBorder="1">
      <alignment/>
      <protection/>
    </xf>
    <xf numFmtId="0" fontId="9" fillId="6" borderId="55" xfId="63" applyFont="1" applyFill="1" applyBorder="1">
      <alignment/>
      <protection/>
    </xf>
    <xf numFmtId="0" fontId="9" fillId="6" borderId="41" xfId="63" applyFont="1" applyFill="1" applyBorder="1" applyAlignment="1">
      <alignment horizontal="center"/>
      <protection/>
    </xf>
    <xf numFmtId="0" fontId="9" fillId="6" borderId="32" xfId="63" applyFont="1" applyFill="1" applyBorder="1" applyAlignment="1">
      <alignment horizontal="center" vertical="top" wrapText="1"/>
      <protection/>
    </xf>
    <xf numFmtId="0" fontId="15" fillId="6" borderId="41" xfId="63" applyFont="1" applyFill="1" applyBorder="1" applyAlignment="1">
      <alignment horizontal="center"/>
      <protection/>
    </xf>
    <xf numFmtId="188" fontId="15" fillId="6" borderId="34" xfId="0" applyNumberFormat="1" applyFont="1" applyFill="1" applyBorder="1" applyAlignment="1">
      <alignment horizontal="left" vertical="center" wrapText="1" indent="1"/>
    </xf>
    <xf numFmtId="0" fontId="0" fillId="0" borderId="15" xfId="0" applyBorder="1" applyAlignment="1">
      <alignment/>
    </xf>
    <xf numFmtId="0" fontId="8" fillId="6" borderId="34" xfId="63" applyFont="1" applyFill="1" applyBorder="1" applyAlignment="1">
      <alignment horizontal="center"/>
      <protection/>
    </xf>
    <xf numFmtId="0" fontId="7" fillId="0" borderId="36" xfId="63" applyFont="1" applyBorder="1">
      <alignment/>
      <protection/>
    </xf>
    <xf numFmtId="0" fontId="7" fillId="0" borderId="15" xfId="63" applyFont="1" applyBorder="1">
      <alignment/>
      <protection/>
    </xf>
    <xf numFmtId="0" fontId="7" fillId="0" borderId="14" xfId="63" applyFont="1" applyBorder="1">
      <alignment/>
      <protection/>
    </xf>
    <xf numFmtId="0" fontId="7" fillId="0" borderId="40" xfId="63" applyFont="1" applyBorder="1">
      <alignment/>
      <protection/>
    </xf>
    <xf numFmtId="0" fontId="9" fillId="0" borderId="41" xfId="63" applyFont="1" applyBorder="1" applyAlignment="1">
      <alignment horizontal="left" indent="1"/>
      <protection/>
    </xf>
    <xf numFmtId="0" fontId="0" fillId="0" borderId="45" xfId="63" applyBorder="1">
      <alignment/>
      <protection/>
    </xf>
    <xf numFmtId="0" fontId="7" fillId="0" borderId="56" xfId="63" applyFont="1" applyBorder="1">
      <alignment/>
      <protection/>
    </xf>
    <xf numFmtId="188" fontId="9" fillId="0" borderId="41" xfId="0" applyNumberFormat="1" applyFont="1" applyFill="1" applyBorder="1" applyAlignment="1">
      <alignment horizontal="left" wrapText="1" indent="1"/>
    </xf>
    <xf numFmtId="3" fontId="15" fillId="0" borderId="28" xfId="63" applyNumberFormat="1" applyFont="1" applyBorder="1" applyAlignment="1">
      <alignment vertical="center"/>
      <protection/>
    </xf>
    <xf numFmtId="3" fontId="15" fillId="6" borderId="28" xfId="63" applyNumberFormat="1" applyFont="1" applyFill="1" applyBorder="1" applyAlignment="1">
      <alignment vertical="center"/>
      <protection/>
    </xf>
    <xf numFmtId="3" fontId="5" fillId="0" borderId="11" xfId="64" applyNumberFormat="1" applyFont="1" applyBorder="1">
      <alignment/>
      <protection/>
    </xf>
    <xf numFmtId="3" fontId="5" fillId="0" borderId="12" xfId="64" applyNumberFormat="1" applyFont="1" applyBorder="1">
      <alignment/>
      <protection/>
    </xf>
    <xf numFmtId="3" fontId="5" fillId="0" borderId="13" xfId="64" applyNumberFormat="1" applyFont="1" applyBorder="1">
      <alignment/>
      <protection/>
    </xf>
    <xf numFmtId="3" fontId="0" fillId="0" borderId="0" xfId="64" applyNumberFormat="1" applyFont="1">
      <alignment/>
      <protection/>
    </xf>
    <xf numFmtId="0" fontId="0" fillId="0" borderId="0" xfId="64" applyFont="1">
      <alignment/>
      <protection/>
    </xf>
    <xf numFmtId="0" fontId="0" fillId="0" borderId="52" xfId="64" applyFont="1" applyBorder="1">
      <alignment/>
      <protection/>
    </xf>
    <xf numFmtId="3" fontId="13" fillId="0" borderId="12" xfId="64" applyNumberFormat="1" applyFont="1" applyBorder="1">
      <alignment/>
      <protection/>
    </xf>
    <xf numFmtId="0" fontId="0" fillId="0" borderId="12" xfId="64" applyBorder="1">
      <alignment/>
      <protection/>
    </xf>
    <xf numFmtId="3" fontId="13" fillId="0" borderId="13" xfId="64" applyNumberFormat="1" applyFont="1" applyBorder="1">
      <alignment/>
      <protection/>
    </xf>
    <xf numFmtId="3" fontId="13" fillId="0" borderId="14" xfId="64" applyNumberFormat="1" applyFont="1" applyBorder="1">
      <alignment/>
      <protection/>
    </xf>
    <xf numFmtId="3" fontId="0" fillId="0" borderId="13" xfId="57" applyNumberFormat="1" applyFont="1" applyBorder="1">
      <alignment/>
      <protection/>
    </xf>
    <xf numFmtId="3" fontId="0" fillId="0" borderId="11" xfId="57" applyNumberFormat="1" applyFont="1" applyBorder="1">
      <alignment/>
      <protection/>
    </xf>
    <xf numFmtId="0" fontId="10" fillId="0" borderId="0" xfId="61" applyFont="1" applyBorder="1" applyAlignment="1">
      <alignment horizontal="center"/>
      <protection/>
    </xf>
    <xf numFmtId="0" fontId="0" fillId="0" borderId="0" xfId="63" applyBorder="1">
      <alignment/>
      <protection/>
    </xf>
    <xf numFmtId="3" fontId="0" fillId="0" borderId="50" xfId="61" applyNumberFormat="1" applyBorder="1">
      <alignment/>
      <protection/>
    </xf>
    <xf numFmtId="0" fontId="12" fillId="6" borderId="35" xfId="61" applyFont="1" applyFill="1" applyBorder="1" applyAlignment="1">
      <alignment horizontal="left" vertical="center"/>
      <protection/>
    </xf>
    <xf numFmtId="3" fontId="8" fillId="6" borderId="30" xfId="61" applyNumberFormat="1" applyFont="1" applyFill="1" applyBorder="1" applyAlignment="1">
      <alignment horizontal="right" vertical="center"/>
      <protection/>
    </xf>
    <xf numFmtId="0" fontId="8" fillId="0" borderId="35" xfId="61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6" xfId="61" applyFont="1" applyBorder="1">
      <alignment/>
      <protection/>
    </xf>
    <xf numFmtId="0" fontId="0" fillId="0" borderId="57" xfId="61" applyFont="1" applyBorder="1">
      <alignment/>
      <protection/>
    </xf>
    <xf numFmtId="0" fontId="14" fillId="7" borderId="58" xfId="61" applyFont="1" applyFill="1" applyBorder="1" applyAlignment="1">
      <alignment horizontal="left" vertical="center" wrapText="1"/>
      <protection/>
    </xf>
    <xf numFmtId="0" fontId="14" fillId="7" borderId="58" xfId="61" applyFont="1" applyFill="1" applyBorder="1">
      <alignment/>
      <protection/>
    </xf>
    <xf numFmtId="3" fontId="14" fillId="7" borderId="48" xfId="61" applyNumberFormat="1" applyFont="1" applyFill="1" applyBorder="1">
      <alignment/>
      <protection/>
    </xf>
    <xf numFmtId="0" fontId="9" fillId="16" borderId="59" xfId="64" applyFont="1" applyFill="1" applyBorder="1" applyAlignment="1">
      <alignment vertical="top" wrapText="1"/>
      <protection/>
    </xf>
    <xf numFmtId="188" fontId="9" fillId="6" borderId="41" xfId="0" applyNumberFormat="1" applyFont="1" applyFill="1" applyBorder="1" applyAlignment="1">
      <alignment horizontal="left" wrapText="1" indent="1"/>
    </xf>
    <xf numFmtId="0" fontId="18" fillId="6" borderId="41" xfId="63" applyFont="1" applyFill="1" applyBorder="1" applyAlignment="1">
      <alignment/>
      <protection/>
    </xf>
    <xf numFmtId="3" fontId="17" fillId="6" borderId="28" xfId="63" applyNumberFormat="1" applyFont="1" applyFill="1" applyBorder="1">
      <alignment/>
      <protection/>
    </xf>
    <xf numFmtId="0" fontId="18" fillId="6" borderId="41" xfId="62" applyFont="1" applyFill="1" applyBorder="1" applyAlignment="1" applyProtection="1">
      <alignment horizontal="left" wrapText="1"/>
      <protection/>
    </xf>
    <xf numFmtId="0" fontId="18" fillId="6" borderId="55" xfId="62" applyFont="1" applyFill="1" applyBorder="1" applyAlignment="1" applyProtection="1">
      <alignment horizontal="left" wrapText="1"/>
      <protection/>
    </xf>
    <xf numFmtId="3" fontId="17" fillId="6" borderId="30" xfId="63" applyNumberFormat="1" applyFont="1" applyFill="1" applyBorder="1">
      <alignment/>
      <protection/>
    </xf>
    <xf numFmtId="3" fontId="17" fillId="6" borderId="28" xfId="63" applyNumberFormat="1" applyFont="1" applyFill="1" applyBorder="1" applyAlignment="1">
      <alignment/>
      <protection/>
    </xf>
    <xf numFmtId="0" fontId="9" fillId="6" borderId="41" xfId="63" applyFont="1" applyFill="1" applyBorder="1">
      <alignment/>
      <protection/>
    </xf>
    <xf numFmtId="3" fontId="12" fillId="0" borderId="37" xfId="64" applyNumberFormat="1" applyFont="1" applyBorder="1">
      <alignment/>
      <protection/>
    </xf>
    <xf numFmtId="3" fontId="13" fillId="6" borderId="32" xfId="64" applyNumberFormat="1" applyFont="1" applyFill="1" applyBorder="1">
      <alignment/>
      <protection/>
    </xf>
    <xf numFmtId="3" fontId="0" fillId="0" borderId="20" xfId="57" applyNumberFormat="1" applyFont="1" applyBorder="1">
      <alignment/>
      <protection/>
    </xf>
    <xf numFmtId="3" fontId="0" fillId="0" borderId="21" xfId="57" applyNumberFormat="1" applyFont="1" applyBorder="1">
      <alignment/>
      <protection/>
    </xf>
    <xf numFmtId="3" fontId="0" fillId="0" borderId="22" xfId="57" applyNumberFormat="1" applyFont="1" applyBorder="1">
      <alignment/>
      <protection/>
    </xf>
    <xf numFmtId="3" fontId="13" fillId="0" borderId="15" xfId="64" applyNumberFormat="1" applyFont="1" applyBorder="1">
      <alignment/>
      <protection/>
    </xf>
    <xf numFmtId="3" fontId="13" fillId="0" borderId="21" xfId="64" applyNumberFormat="1" applyFont="1" applyBorder="1">
      <alignment/>
      <protection/>
    </xf>
    <xf numFmtId="3" fontId="13" fillId="0" borderId="22" xfId="64" applyNumberFormat="1" applyFont="1" applyBorder="1">
      <alignment/>
      <protection/>
    </xf>
    <xf numFmtId="3" fontId="0" fillId="0" borderId="18" xfId="57" applyNumberFormat="1" applyFont="1" applyBorder="1">
      <alignment/>
      <protection/>
    </xf>
    <xf numFmtId="3" fontId="13" fillId="0" borderId="19" xfId="64" applyNumberFormat="1" applyFont="1" applyBorder="1">
      <alignment/>
      <protection/>
    </xf>
    <xf numFmtId="3" fontId="8" fillId="6" borderId="32" xfId="57" applyNumberFormat="1" applyFont="1" applyFill="1" applyBorder="1">
      <alignment/>
      <protection/>
    </xf>
    <xf numFmtId="3" fontId="14" fillId="7" borderId="48" xfId="61" applyNumberFormat="1" applyFont="1" applyFill="1" applyBorder="1" applyAlignment="1">
      <alignment horizontal="right" vertical="center"/>
      <protection/>
    </xf>
    <xf numFmtId="0" fontId="18" fillId="6" borderId="60" xfId="64" applyFont="1" applyFill="1" applyBorder="1" applyAlignment="1">
      <alignment horizontal="center" wrapText="1"/>
      <protection/>
    </xf>
    <xf numFmtId="0" fontId="9" fillId="0" borderId="61" xfId="64" applyFont="1" applyFill="1" applyBorder="1">
      <alignment/>
      <protection/>
    </xf>
    <xf numFmtId="0" fontId="9" fillId="0" borderId="62" xfId="64" applyFont="1" applyFill="1" applyBorder="1" applyAlignment="1">
      <alignment vertical="top" wrapText="1"/>
      <protection/>
    </xf>
    <xf numFmtId="0" fontId="18" fillId="6" borderId="60" xfId="64" applyFont="1" applyFill="1" applyBorder="1" applyAlignment="1">
      <alignment vertical="top" wrapText="1"/>
      <protection/>
    </xf>
    <xf numFmtId="0" fontId="9" fillId="0" borderId="63" xfId="57" applyFont="1" applyBorder="1" applyAlignment="1">
      <alignment wrapText="1"/>
      <protection/>
    </xf>
    <xf numFmtId="0" fontId="9" fillId="0" borderId="52" xfId="57" applyFont="1" applyBorder="1" applyAlignment="1">
      <alignment wrapText="1"/>
      <protection/>
    </xf>
    <xf numFmtId="0" fontId="9" fillId="0" borderId="64" xfId="57" applyFont="1" applyBorder="1" applyAlignment="1">
      <alignment wrapText="1"/>
      <protection/>
    </xf>
    <xf numFmtId="3" fontId="13" fillId="6" borderId="41" xfId="64" applyNumberFormat="1" applyFont="1" applyFill="1" applyBorder="1">
      <alignment/>
      <protection/>
    </xf>
    <xf numFmtId="3" fontId="5" fillId="0" borderId="43" xfId="64" applyNumberFormat="1" applyFont="1" applyBorder="1">
      <alignment/>
      <protection/>
    </xf>
    <xf numFmtId="3" fontId="5" fillId="0" borderId="44" xfId="64" applyNumberFormat="1" applyFont="1" applyBorder="1">
      <alignment/>
      <protection/>
    </xf>
    <xf numFmtId="3" fontId="0" fillId="0" borderId="43" xfId="57" applyNumberFormat="1" applyFont="1" applyBorder="1">
      <alignment/>
      <protection/>
    </xf>
    <xf numFmtId="3" fontId="0" fillId="0" borderId="10" xfId="57" applyNumberFormat="1" applyFont="1" applyBorder="1">
      <alignment/>
      <protection/>
    </xf>
    <xf numFmtId="3" fontId="0" fillId="0" borderId="44" xfId="57" applyNumberFormat="1" applyFont="1" applyBorder="1">
      <alignment/>
      <protection/>
    </xf>
    <xf numFmtId="3" fontId="8" fillId="6" borderId="41" xfId="57" applyNumberFormat="1" applyFont="1" applyFill="1" applyBorder="1">
      <alignment/>
      <protection/>
    </xf>
    <xf numFmtId="3" fontId="5" fillId="0" borderId="45" xfId="64" applyNumberFormat="1" applyFont="1" applyBorder="1">
      <alignment/>
      <protection/>
    </xf>
    <xf numFmtId="3" fontId="5" fillId="0" borderId="49" xfId="64" applyNumberFormat="1" applyFont="1" applyBorder="1">
      <alignment/>
      <protection/>
    </xf>
    <xf numFmtId="3" fontId="5" fillId="0" borderId="65" xfId="64" applyNumberFormat="1" applyFont="1" applyBorder="1">
      <alignment/>
      <protection/>
    </xf>
    <xf numFmtId="3" fontId="13" fillId="6" borderId="66" xfId="64" applyNumberFormat="1" applyFont="1" applyFill="1" applyBorder="1">
      <alignment/>
      <protection/>
    </xf>
    <xf numFmtId="3" fontId="8" fillId="6" borderId="66" xfId="57" applyNumberFormat="1" applyFont="1" applyFill="1" applyBorder="1">
      <alignment/>
      <protection/>
    </xf>
    <xf numFmtId="3" fontId="5" fillId="0" borderId="67" xfId="64" applyNumberFormat="1" applyFont="1" applyBorder="1">
      <alignment/>
      <protection/>
    </xf>
    <xf numFmtId="3" fontId="13" fillId="6" borderId="68" xfId="64" applyNumberFormat="1" applyFont="1" applyFill="1" applyBorder="1">
      <alignment/>
      <protection/>
    </xf>
    <xf numFmtId="3" fontId="12" fillId="0" borderId="40" xfId="64" applyNumberFormat="1" applyFont="1" applyBorder="1">
      <alignment/>
      <protection/>
    </xf>
    <xf numFmtId="3" fontId="13" fillId="6" borderId="34" xfId="64" applyNumberFormat="1" applyFont="1" applyFill="1" applyBorder="1">
      <alignment/>
      <protection/>
    </xf>
    <xf numFmtId="3" fontId="0" fillId="0" borderId="16" xfId="57" applyNumberFormat="1" applyFont="1" applyBorder="1">
      <alignment/>
      <protection/>
    </xf>
    <xf numFmtId="3" fontId="8" fillId="6" borderId="34" xfId="57" applyNumberFormat="1" applyFont="1" applyFill="1" applyBorder="1">
      <alignment/>
      <protection/>
    </xf>
    <xf numFmtId="3" fontId="5" fillId="0" borderId="57" xfId="64" applyNumberFormat="1" applyFont="1" applyFill="1" applyBorder="1">
      <alignment/>
      <protection/>
    </xf>
    <xf numFmtId="3" fontId="12" fillId="0" borderId="40" xfId="64" applyNumberFormat="1" applyFont="1" applyFill="1" applyBorder="1">
      <alignment/>
      <protection/>
    </xf>
    <xf numFmtId="3" fontId="15" fillId="0" borderId="69" xfId="63" applyNumberFormat="1" applyFont="1" applyBorder="1">
      <alignment/>
      <protection/>
    </xf>
    <xf numFmtId="3" fontId="15" fillId="0" borderId="13" xfId="63" applyNumberFormat="1" applyFont="1" applyBorder="1">
      <alignment/>
      <protection/>
    </xf>
    <xf numFmtId="3" fontId="15" fillId="0" borderId="18" xfId="63" applyNumberFormat="1" applyFont="1" applyBorder="1">
      <alignment/>
      <protection/>
    </xf>
    <xf numFmtId="3" fontId="17" fillId="6" borderId="66" xfId="63" applyNumberFormat="1" applyFont="1" applyFill="1" applyBorder="1" applyAlignment="1">
      <alignment/>
      <protection/>
    </xf>
    <xf numFmtId="3" fontId="15" fillId="6" borderId="66" xfId="63" applyNumberFormat="1" applyFont="1" applyFill="1" applyBorder="1">
      <alignment/>
      <protection/>
    </xf>
    <xf numFmtId="3" fontId="15" fillId="0" borderId="22" xfId="63" applyNumberFormat="1" applyFont="1" applyBorder="1">
      <alignment/>
      <protection/>
    </xf>
    <xf numFmtId="3" fontId="7" fillId="0" borderId="67" xfId="63" applyNumberFormat="1" applyFont="1" applyBorder="1">
      <alignment/>
      <protection/>
    </xf>
    <xf numFmtId="3" fontId="17" fillId="6" borderId="70" xfId="63" applyNumberFormat="1" applyFont="1" applyFill="1" applyBorder="1">
      <alignment/>
      <protection/>
    </xf>
    <xf numFmtId="3" fontId="15" fillId="6" borderId="70" xfId="63" applyNumberFormat="1" applyFont="1" applyFill="1" applyBorder="1">
      <alignment/>
      <protection/>
    </xf>
    <xf numFmtId="0" fontId="6" fillId="0" borderId="66" xfId="63" applyFont="1" applyBorder="1" applyAlignment="1">
      <alignment horizontal="center"/>
      <protection/>
    </xf>
    <xf numFmtId="0" fontId="9" fillId="6" borderId="66" xfId="63" applyFont="1" applyFill="1" applyBorder="1" applyAlignment="1">
      <alignment horizontal="center" vertical="top" wrapText="1"/>
      <protection/>
    </xf>
    <xf numFmtId="3" fontId="17" fillId="6" borderId="66" xfId="63" applyNumberFormat="1" applyFont="1" applyFill="1" applyBorder="1">
      <alignment/>
      <protection/>
    </xf>
    <xf numFmtId="3" fontId="7" fillId="0" borderId="18" xfId="63" applyNumberFormat="1" applyFont="1" applyBorder="1">
      <alignment/>
      <protection/>
    </xf>
    <xf numFmtId="0" fontId="15" fillId="0" borderId="13" xfId="63" applyFont="1" applyBorder="1">
      <alignment/>
      <protection/>
    </xf>
    <xf numFmtId="3" fontId="7" fillId="0" borderId="25" xfId="63" applyNumberFormat="1" applyFont="1" applyBorder="1">
      <alignment/>
      <protection/>
    </xf>
    <xf numFmtId="3" fontId="15" fillId="0" borderId="66" xfId="63" applyNumberFormat="1" applyFont="1" applyBorder="1">
      <alignment/>
      <protection/>
    </xf>
    <xf numFmtId="0" fontId="9" fillId="18" borderId="28" xfId="63" applyFont="1" applyFill="1" applyBorder="1" applyAlignment="1">
      <alignment horizontal="center" vertical="top" wrapText="1"/>
      <protection/>
    </xf>
    <xf numFmtId="3" fontId="7" fillId="0" borderId="22" xfId="63" applyNumberFormat="1" applyFont="1" applyBorder="1">
      <alignment/>
      <protection/>
    </xf>
    <xf numFmtId="3" fontId="15" fillId="0" borderId="66" xfId="63" applyNumberFormat="1" applyFont="1" applyBorder="1" applyAlignment="1">
      <alignment vertical="center"/>
      <protection/>
    </xf>
    <xf numFmtId="0" fontId="7" fillId="0" borderId="13" xfId="63" applyFont="1" applyBorder="1">
      <alignment/>
      <protection/>
    </xf>
    <xf numFmtId="3" fontId="15" fillId="6" borderId="66" xfId="63" applyNumberFormat="1" applyFont="1" applyFill="1" applyBorder="1" applyAlignment="1">
      <alignment vertical="center"/>
      <protection/>
    </xf>
    <xf numFmtId="0" fontId="9" fillId="6" borderId="34" xfId="63" applyFont="1" applyFill="1" applyBorder="1" applyAlignment="1">
      <alignment horizontal="center"/>
      <protection/>
    </xf>
    <xf numFmtId="188" fontId="9" fillId="0" borderId="34" xfId="0" applyNumberFormat="1" applyFont="1" applyFill="1" applyBorder="1" applyAlignment="1" applyProtection="1">
      <alignment horizontal="left" vertical="center" wrapText="1" indent="1"/>
      <protection/>
    </xf>
    <xf numFmtId="188" fontId="9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69" xfId="63" applyNumberFormat="1" applyFont="1" applyBorder="1">
      <alignment/>
      <protection/>
    </xf>
    <xf numFmtId="3" fontId="7" fillId="0" borderId="48" xfId="63" applyNumberFormat="1" applyFont="1" applyBorder="1">
      <alignment/>
      <protection/>
    </xf>
    <xf numFmtId="188" fontId="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88" fontId="9" fillId="6" borderId="55" xfId="0" applyNumberFormat="1" applyFont="1" applyFill="1" applyBorder="1" applyAlignment="1">
      <alignment horizontal="left" vertical="center" wrapText="1" indent="1"/>
    </xf>
    <xf numFmtId="3" fontId="15" fillId="6" borderId="70" xfId="63" applyNumberFormat="1" applyFont="1" applyFill="1" applyBorder="1" applyAlignment="1">
      <alignment vertical="center"/>
      <protection/>
    </xf>
    <xf numFmtId="188" fontId="9" fillId="6" borderId="35" xfId="0" applyNumberFormat="1" applyFont="1" applyFill="1" applyBorder="1" applyAlignment="1">
      <alignment horizontal="left" vertical="center" wrapText="1" indent="1"/>
    </xf>
    <xf numFmtId="3" fontId="15" fillId="6" borderId="30" xfId="63" applyNumberFormat="1" applyFont="1" applyFill="1" applyBorder="1" applyAlignment="1">
      <alignment vertical="center"/>
      <protection/>
    </xf>
    <xf numFmtId="188" fontId="6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71" xfId="63" applyFont="1" applyBorder="1" applyAlignment="1">
      <alignment horizontal="center"/>
      <protection/>
    </xf>
    <xf numFmtId="0" fontId="0" fillId="0" borderId="72" xfId="63" applyFont="1" applyBorder="1" applyAlignment="1">
      <alignment horizontal="center"/>
      <protection/>
    </xf>
    <xf numFmtId="0" fontId="8" fillId="6" borderId="41" xfId="63" applyFont="1" applyFill="1" applyBorder="1" applyAlignment="1">
      <alignment horizontal="center"/>
      <protection/>
    </xf>
    <xf numFmtId="0" fontId="7" fillId="0" borderId="41" xfId="63" applyFont="1" applyBorder="1" applyAlignment="1">
      <alignment horizontal="center"/>
      <protection/>
    </xf>
    <xf numFmtId="0" fontId="7" fillId="0" borderId="66" xfId="63" applyFont="1" applyBorder="1" applyAlignment="1">
      <alignment horizontal="center"/>
      <protection/>
    </xf>
    <xf numFmtId="0" fontId="7" fillId="0" borderId="28" xfId="63" applyFont="1" applyBorder="1" applyAlignment="1">
      <alignment horizontal="center"/>
      <protection/>
    </xf>
    <xf numFmtId="0" fontId="8" fillId="0" borderId="30" xfId="61" applyFont="1" applyBorder="1" applyAlignment="1">
      <alignment horizontal="center" vertical="center" wrapText="1"/>
      <protection/>
    </xf>
    <xf numFmtId="0" fontId="0" fillId="0" borderId="66" xfId="61" applyFont="1" applyBorder="1" applyAlignment="1">
      <alignment horizontal="center"/>
      <protection/>
    </xf>
    <xf numFmtId="0" fontId="8" fillId="0" borderId="70" xfId="61" applyFont="1" applyBorder="1" applyAlignment="1">
      <alignment horizontal="center" vertical="center"/>
      <protection/>
    </xf>
    <xf numFmtId="3" fontId="14" fillId="7" borderId="69" xfId="61" applyNumberFormat="1" applyFont="1" applyFill="1" applyBorder="1" applyAlignment="1">
      <alignment horizontal="right" vertical="center"/>
      <protection/>
    </xf>
    <xf numFmtId="3" fontId="0" fillId="0" borderId="13" xfId="61" applyNumberFormat="1" applyBorder="1">
      <alignment/>
      <protection/>
    </xf>
    <xf numFmtId="3" fontId="0" fillId="0" borderId="18" xfId="61" applyNumberFormat="1" applyBorder="1">
      <alignment/>
      <protection/>
    </xf>
    <xf numFmtId="3" fontId="14" fillId="7" borderId="69" xfId="61" applyNumberFormat="1" applyFont="1" applyFill="1" applyBorder="1">
      <alignment/>
      <protection/>
    </xf>
    <xf numFmtId="3" fontId="0" fillId="0" borderId="67" xfId="61" applyNumberFormat="1" applyBorder="1">
      <alignment/>
      <protection/>
    </xf>
    <xf numFmtId="3" fontId="8" fillId="6" borderId="70" xfId="61" applyNumberFormat="1" applyFont="1" applyFill="1" applyBorder="1" applyAlignment="1">
      <alignment horizontal="right" vertical="center"/>
      <protection/>
    </xf>
    <xf numFmtId="3" fontId="0" fillId="16" borderId="22" xfId="61" applyNumberFormat="1" applyFill="1" applyBorder="1">
      <alignment/>
      <protection/>
    </xf>
    <xf numFmtId="3" fontId="0" fillId="16" borderId="13" xfId="61" applyNumberFormat="1" applyFill="1" applyBorder="1">
      <alignment/>
      <protection/>
    </xf>
    <xf numFmtId="3" fontId="8" fillId="6" borderId="70" xfId="61" applyNumberFormat="1" applyFont="1" applyFill="1" applyBorder="1">
      <alignment/>
      <protection/>
    </xf>
    <xf numFmtId="3" fontId="15" fillId="0" borderId="67" xfId="63" applyNumberFormat="1" applyFont="1" applyBorder="1">
      <alignment/>
      <protection/>
    </xf>
    <xf numFmtId="3" fontId="15" fillId="0" borderId="50" xfId="63" applyNumberFormat="1" applyFont="1" applyBorder="1">
      <alignment/>
      <protection/>
    </xf>
    <xf numFmtId="0" fontId="6" fillId="0" borderId="47" xfId="63" applyFont="1" applyBorder="1">
      <alignment/>
      <protection/>
    </xf>
    <xf numFmtId="3" fontId="7" fillId="0" borderId="69" xfId="63" applyNumberFormat="1" applyFont="1" applyBorder="1">
      <alignment/>
      <protection/>
    </xf>
    <xf numFmtId="3" fontId="7" fillId="0" borderId="48" xfId="63" applyNumberFormat="1" applyFont="1" applyBorder="1">
      <alignment/>
      <protection/>
    </xf>
    <xf numFmtId="0" fontId="15" fillId="6" borderId="68" xfId="64" applyFont="1" applyFill="1" applyBorder="1" applyAlignment="1">
      <alignment horizontal="center" vertical="center"/>
      <protection/>
    </xf>
    <xf numFmtId="0" fontId="15" fillId="6" borderId="34" xfId="64" applyFont="1" applyFill="1" applyBorder="1" applyAlignment="1">
      <alignment horizontal="center" vertical="center"/>
      <protection/>
    </xf>
    <xf numFmtId="0" fontId="15" fillId="6" borderId="32" xfId="64" applyFont="1" applyFill="1" applyBorder="1" applyAlignment="1">
      <alignment horizontal="center" vertical="center"/>
      <protection/>
    </xf>
    <xf numFmtId="0" fontId="15" fillId="6" borderId="32" xfId="64" applyFont="1" applyFill="1" applyBorder="1" applyAlignment="1">
      <alignment horizontal="center" vertical="center" wrapText="1"/>
      <protection/>
    </xf>
    <xf numFmtId="0" fontId="15" fillId="6" borderId="66" xfId="64" applyFont="1" applyFill="1" applyBorder="1" applyAlignment="1">
      <alignment horizontal="center" vertical="center" wrapText="1"/>
      <protection/>
    </xf>
    <xf numFmtId="0" fontId="15" fillId="6" borderId="66" xfId="64" applyFont="1" applyFill="1" applyBorder="1" applyAlignment="1">
      <alignment horizontal="center" vertical="center"/>
      <protection/>
    </xf>
    <xf numFmtId="0" fontId="9" fillId="16" borderId="73" xfId="64" applyFont="1" applyFill="1" applyBorder="1" applyAlignment="1">
      <alignment vertical="top" wrapText="1"/>
      <protection/>
    </xf>
    <xf numFmtId="0" fontId="15" fillId="6" borderId="68" xfId="64" applyFont="1" applyFill="1" applyBorder="1">
      <alignment/>
      <protection/>
    </xf>
    <xf numFmtId="3" fontId="12" fillId="6" borderId="35" xfId="64" applyNumberFormat="1" applyFont="1" applyFill="1" applyBorder="1">
      <alignment/>
      <protection/>
    </xf>
    <xf numFmtId="3" fontId="12" fillId="6" borderId="74" xfId="64" applyNumberFormat="1" applyFont="1" applyFill="1" applyBorder="1">
      <alignment/>
      <protection/>
    </xf>
    <xf numFmtId="3" fontId="12" fillId="6" borderId="75" xfId="64" applyNumberFormat="1" applyFont="1" applyFill="1" applyBorder="1">
      <alignment/>
      <protection/>
    </xf>
    <xf numFmtId="3" fontId="5" fillId="0" borderId="76" xfId="64" applyNumberFormat="1" applyFont="1" applyBorder="1">
      <alignment/>
      <protection/>
    </xf>
    <xf numFmtId="0" fontId="0" fillId="0" borderId="0" xfId="60">
      <alignment/>
      <protection/>
    </xf>
    <xf numFmtId="0" fontId="4" fillId="0" borderId="0" xfId="60" applyFont="1" applyAlignment="1">
      <alignment horizontal="center"/>
      <protection/>
    </xf>
    <xf numFmtId="0" fontId="8" fillId="0" borderId="0" xfId="60" applyFont="1" applyAlignment="1">
      <alignment horizontal="center" vertical="center" wrapText="1"/>
      <protection/>
    </xf>
    <xf numFmtId="0" fontId="8" fillId="0" borderId="0" xfId="60" applyFont="1">
      <alignment/>
      <protection/>
    </xf>
    <xf numFmtId="0" fontId="0" fillId="0" borderId="0" xfId="60" applyFont="1">
      <alignment/>
      <protection/>
    </xf>
    <xf numFmtId="0" fontId="0" fillId="0" borderId="37" xfId="60" applyBorder="1">
      <alignment/>
      <protection/>
    </xf>
    <xf numFmtId="0" fontId="7" fillId="0" borderId="12" xfId="60" applyFont="1" applyBorder="1">
      <alignment/>
      <protection/>
    </xf>
    <xf numFmtId="3" fontId="0" fillId="0" borderId="12" xfId="60" applyNumberFormat="1" applyBorder="1">
      <alignment/>
      <protection/>
    </xf>
    <xf numFmtId="0" fontId="39" fillId="0" borderId="32" xfId="60" applyFont="1" applyBorder="1">
      <alignment/>
      <protection/>
    </xf>
    <xf numFmtId="3" fontId="39" fillId="0" borderId="32" xfId="60" applyNumberFormat="1" applyFont="1" applyBorder="1">
      <alignment/>
      <protection/>
    </xf>
    <xf numFmtId="0" fontId="7" fillId="0" borderId="0" xfId="60" applyFont="1">
      <alignment/>
      <protection/>
    </xf>
    <xf numFmtId="0" fontId="0" fillId="18" borderId="46" xfId="60" applyFont="1" applyFill="1" applyBorder="1" applyAlignment="1">
      <alignment horizontal="center" vertical="center" wrapText="1"/>
      <protection/>
    </xf>
    <xf numFmtId="0" fontId="7" fillId="18" borderId="46" xfId="60" applyFont="1" applyFill="1" applyBorder="1" applyAlignment="1">
      <alignment horizontal="center" vertical="center" wrapText="1"/>
      <protection/>
    </xf>
    <xf numFmtId="0" fontId="0" fillId="0" borderId="52" xfId="60" applyFont="1" applyBorder="1">
      <alignment/>
      <protection/>
    </xf>
    <xf numFmtId="49" fontId="7" fillId="0" borderId="47" xfId="60" applyNumberFormat="1" applyFont="1" applyBorder="1" applyAlignment="1">
      <alignment horizontal="center"/>
      <protection/>
    </xf>
    <xf numFmtId="0" fontId="7" fillId="0" borderId="77" xfId="60" applyFont="1" applyBorder="1">
      <alignment/>
      <protection/>
    </xf>
    <xf numFmtId="0" fontId="0" fillId="0" borderId="77" xfId="60" applyFont="1" applyFill="1" applyBorder="1" applyAlignment="1">
      <alignment horizontal="right"/>
      <protection/>
    </xf>
    <xf numFmtId="0" fontId="0" fillId="0" borderId="77" xfId="60" applyBorder="1">
      <alignment/>
      <protection/>
    </xf>
    <xf numFmtId="49" fontId="7" fillId="0" borderId="10" xfId="60" applyNumberFormat="1" applyFont="1" applyBorder="1" applyAlignment="1">
      <alignment horizontal="center"/>
      <protection/>
    </xf>
    <xf numFmtId="0" fontId="0" fillId="0" borderId="12" xfId="60" applyFont="1" applyFill="1" applyBorder="1" applyAlignment="1">
      <alignment horizontal="right"/>
      <protection/>
    </xf>
    <xf numFmtId="0" fontId="0" fillId="0" borderId="12" xfId="60" applyBorder="1">
      <alignment/>
      <protection/>
    </xf>
    <xf numFmtId="0" fontId="9" fillId="0" borderId="56" xfId="64" applyFont="1" applyFill="1" applyBorder="1">
      <alignment/>
      <protection/>
    </xf>
    <xf numFmtId="0" fontId="9" fillId="0" borderId="37" xfId="64" applyFont="1" applyFill="1" applyBorder="1">
      <alignment/>
      <protection/>
    </xf>
    <xf numFmtId="3" fontId="9" fillId="0" borderId="40" xfId="64" applyNumberFormat="1" applyFont="1" applyFill="1" applyBorder="1" applyAlignment="1">
      <alignment wrapText="1"/>
      <protection/>
    </xf>
    <xf numFmtId="0" fontId="0" fillId="0" borderId="51" xfId="60" applyBorder="1">
      <alignment/>
      <protection/>
    </xf>
    <xf numFmtId="0" fontId="0" fillId="0" borderId="41" xfId="60" applyFont="1" applyBorder="1" applyAlignment="1">
      <alignment horizontal="center"/>
      <protection/>
    </xf>
    <xf numFmtId="0" fontId="0" fillId="0" borderId="46" xfId="60" applyFont="1" applyBorder="1" applyAlignment="1">
      <alignment horizontal="center"/>
      <protection/>
    </xf>
    <xf numFmtId="0" fontId="0" fillId="0" borderId="72" xfId="60" applyFont="1" applyBorder="1" applyAlignment="1">
      <alignment horizontal="center"/>
      <protection/>
    </xf>
    <xf numFmtId="0" fontId="6" fillId="18" borderId="0" xfId="60" applyFont="1" applyFill="1" applyBorder="1" applyAlignment="1">
      <alignment horizontal="center" vertical="center" wrapText="1"/>
      <protection/>
    </xf>
    <xf numFmtId="0" fontId="0" fillId="18" borderId="71" xfId="60" applyFont="1" applyFill="1" applyBorder="1" applyAlignment="1">
      <alignment horizontal="center" vertical="center" wrapText="1"/>
      <protection/>
    </xf>
    <xf numFmtId="0" fontId="7" fillId="18" borderId="72" xfId="60" applyFont="1" applyFill="1" applyBorder="1" applyAlignment="1">
      <alignment horizontal="center" vertical="center" wrapText="1"/>
      <protection/>
    </xf>
    <xf numFmtId="0" fontId="0" fillId="0" borderId="48" xfId="60" applyBorder="1">
      <alignment/>
      <protection/>
    </xf>
    <xf numFmtId="0" fontId="0" fillId="0" borderId="26" xfId="60" applyBorder="1">
      <alignment/>
      <protection/>
    </xf>
    <xf numFmtId="49" fontId="7" fillId="0" borderId="44" xfId="60" applyNumberFormat="1" applyFont="1" applyBorder="1" applyAlignment="1">
      <alignment horizontal="center"/>
      <protection/>
    </xf>
    <xf numFmtId="0" fontId="7" fillId="0" borderId="17" xfId="60" applyFont="1" applyBorder="1">
      <alignment/>
      <protection/>
    </xf>
    <xf numFmtId="0" fontId="0" fillId="0" borderId="17" xfId="60" applyFont="1" applyFill="1" applyBorder="1" applyAlignment="1">
      <alignment horizontal="right"/>
      <protection/>
    </xf>
    <xf numFmtId="0" fontId="0" fillId="0" borderId="17" xfId="60" applyBorder="1">
      <alignment/>
      <protection/>
    </xf>
    <xf numFmtId="0" fontId="0" fillId="0" borderId="29" xfId="60" applyBorder="1">
      <alignment/>
      <protection/>
    </xf>
    <xf numFmtId="0" fontId="0" fillId="0" borderId="41" xfId="60" applyBorder="1">
      <alignment/>
      <protection/>
    </xf>
    <xf numFmtId="0" fontId="39" fillId="0" borderId="28" xfId="60" applyFont="1" applyBorder="1">
      <alignment/>
      <protection/>
    </xf>
    <xf numFmtId="0" fontId="0" fillId="0" borderId="54" xfId="60" applyBorder="1">
      <alignment/>
      <protection/>
    </xf>
    <xf numFmtId="0" fontId="0" fillId="0" borderId="71" xfId="60" applyFont="1" applyBorder="1" applyAlignment="1">
      <alignment horizontal="center"/>
      <protection/>
    </xf>
    <xf numFmtId="0" fontId="6" fillId="18" borderId="71" xfId="60" applyFont="1" applyFill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/>
      <protection/>
    </xf>
    <xf numFmtId="3" fontId="0" fillId="0" borderId="77" xfId="60" applyNumberFormat="1" applyBorder="1">
      <alignment/>
      <protection/>
    </xf>
    <xf numFmtId="0" fontId="7" fillId="0" borderId="10" xfId="60" applyFont="1" applyBorder="1" applyAlignment="1">
      <alignment horizontal="center"/>
      <protection/>
    </xf>
    <xf numFmtId="0" fontId="0" fillId="0" borderId="26" xfId="60" applyFont="1" applyFill="1" applyBorder="1">
      <alignment/>
      <protection/>
    </xf>
    <xf numFmtId="0" fontId="0" fillId="0" borderId="53" xfId="60" applyFont="1" applyBorder="1">
      <alignment/>
      <protection/>
    </xf>
    <xf numFmtId="0" fontId="7" fillId="0" borderId="44" xfId="60" applyFont="1" applyBorder="1" applyAlignment="1">
      <alignment horizontal="center"/>
      <protection/>
    </xf>
    <xf numFmtId="3" fontId="0" fillId="0" borderId="17" xfId="60" applyNumberFormat="1" applyBorder="1">
      <alignment/>
      <protection/>
    </xf>
    <xf numFmtId="0" fontId="7" fillId="0" borderId="41" xfId="60" applyFont="1" applyBorder="1">
      <alignment/>
      <protection/>
    </xf>
    <xf numFmtId="3" fontId="39" fillId="0" borderId="28" xfId="60" applyNumberFormat="1" applyFont="1" applyBorder="1">
      <alignment/>
      <protection/>
    </xf>
    <xf numFmtId="0" fontId="0" fillId="0" borderId="0" xfId="60" applyFont="1" applyBorder="1" applyAlignment="1">
      <alignment horizontal="center"/>
      <protection/>
    </xf>
    <xf numFmtId="0" fontId="0" fillId="0" borderId="0" xfId="60" applyBorder="1">
      <alignment/>
      <protection/>
    </xf>
    <xf numFmtId="0" fontId="0" fillId="0" borderId="0" xfId="60" applyFont="1" applyFill="1" applyBorder="1">
      <alignment/>
      <protection/>
    </xf>
    <xf numFmtId="3" fontId="39" fillId="0" borderId="0" xfId="60" applyNumberFormat="1" applyFont="1" applyBorder="1">
      <alignment/>
      <protection/>
    </xf>
    <xf numFmtId="0" fontId="7" fillId="19" borderId="0" xfId="60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/>
      <protection/>
    </xf>
    <xf numFmtId="0" fontId="12" fillId="0" borderId="0" xfId="63" applyFont="1" applyBorder="1" applyAlignment="1">
      <alignment horizontal="center"/>
      <protection/>
    </xf>
    <xf numFmtId="0" fontId="38" fillId="0" borderId="0" xfId="59" applyFont="1" applyBorder="1" applyAlignment="1">
      <alignment horizontal="right" wrapText="1"/>
      <protection/>
    </xf>
    <xf numFmtId="0" fontId="38" fillId="0" borderId="74" xfId="59" applyFont="1" applyBorder="1" applyAlignment="1">
      <alignment horizontal="right" wrapText="1"/>
      <protection/>
    </xf>
    <xf numFmtId="0" fontId="10" fillId="0" borderId="0" xfId="64" applyFont="1" applyBorder="1" applyAlignment="1">
      <alignment horizontal="right"/>
      <protection/>
    </xf>
    <xf numFmtId="0" fontId="11" fillId="0" borderId="0" xfId="58" applyFont="1" applyBorder="1" applyAlignment="1">
      <alignment horizontal="right"/>
      <protection/>
    </xf>
    <xf numFmtId="0" fontId="16" fillId="0" borderId="0" xfId="59" applyFont="1" applyAlignment="1">
      <alignment horizontal="center" wrapText="1"/>
      <protection/>
    </xf>
    <xf numFmtId="0" fontId="4" fillId="0" borderId="0" xfId="60" applyFont="1" applyBorder="1" applyAlignment="1">
      <alignment horizontal="center" wrapText="1"/>
      <protection/>
    </xf>
    <xf numFmtId="0" fontId="8" fillId="0" borderId="0" xfId="60" applyFont="1" applyAlignment="1">
      <alignment horizontal="center" vertical="center" wrapText="1"/>
      <protection/>
    </xf>
    <xf numFmtId="0" fontId="12" fillId="0" borderId="0" xfId="61" applyFont="1" applyAlignment="1">
      <alignment horizontal="center"/>
      <protection/>
    </xf>
    <xf numFmtId="0" fontId="0" fillId="0" borderId="40" xfId="61" applyFont="1" applyBorder="1">
      <alignment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07.I. módosítás" xfId="57"/>
    <cellStyle name="Normál_2010.I. módosítás" xfId="58"/>
    <cellStyle name="Normál_címrend1" xfId="59"/>
    <cellStyle name="Normál_címrend2" xfId="60"/>
    <cellStyle name="Normál_Köttsv.2004" xfId="61"/>
    <cellStyle name="Normál_KVRENMUNKA" xfId="62"/>
    <cellStyle name="Normál_mérleg" xfId="63"/>
    <cellStyle name="Normál_Vált.2003-04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s&#233;gvet&#233;s%20t&#225;bl&#225;zatai%202012.%20&#233;v%20TEST&#220;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érleg ÚJ (2)"/>
      <sheetName val="2.sz.mérleg működési"/>
      <sheetName val="3.sz.mérleg felhalmozási"/>
      <sheetName val="4.sz.Bev-kiad. (2)"/>
      <sheetName val="5.sz.címrend 2"/>
      <sheetName val="6.sz.Felhalm."/>
      <sheetName val="7.sz.EU-s tám."/>
      <sheetName val="8.sz.adósság keletk."/>
      <sheetName val="9-10-11.sz."/>
      <sheetName val="12.sz.önk.bev-kiad."/>
      <sheetName val="1.tájék.mérleg "/>
      <sheetName val="2.tájék.Ragsorolandó felhalm."/>
      <sheetName val="3.tájék.kedvezmények"/>
      <sheetName val="4.tájék.Ei.felh."/>
      <sheetName val="5.sz.táj.tábla"/>
      <sheetName val="6.sz.tábla"/>
    </sheetNames>
    <sheetDataSet>
      <sheetData sheetId="0">
        <row r="84">
          <cell r="C84">
            <v>927610</v>
          </cell>
        </row>
        <row r="85">
          <cell r="C85">
            <v>411364</v>
          </cell>
        </row>
        <row r="96">
          <cell r="C96">
            <v>734236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workbookViewId="0" topLeftCell="A1">
      <pane xSplit="2" ySplit="4" topLeftCell="C89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D108" sqref="D108"/>
    </sheetView>
  </sheetViews>
  <sheetFormatPr defaultColWidth="9.00390625" defaultRowHeight="12.75"/>
  <cols>
    <col min="1" max="1" width="3.875" style="1" customWidth="1"/>
    <col min="2" max="2" width="46.625" style="1" customWidth="1"/>
    <col min="3" max="3" width="10.00390625" style="1" customWidth="1"/>
    <col min="4" max="4" width="14.375" style="1" customWidth="1"/>
    <col min="5" max="5" width="10.875" style="1" customWidth="1"/>
    <col min="6" max="7" width="10.75390625" style="1" customWidth="1"/>
    <col min="8" max="16384" width="9.125" style="1" customWidth="1"/>
  </cols>
  <sheetData>
    <row r="1" spans="1:3" ht="15">
      <c r="A1" s="325" t="s">
        <v>300</v>
      </c>
      <c r="B1" s="325"/>
      <c r="C1" s="325"/>
    </row>
    <row r="2" spans="2:3" ht="12.75" customHeight="1" thickBot="1">
      <c r="B2" s="327" t="s">
        <v>82</v>
      </c>
      <c r="C2" s="327"/>
    </row>
    <row r="3" spans="1:4" ht="12" customHeight="1" thickBot="1">
      <c r="A3" s="103"/>
      <c r="B3" s="71" t="s">
        <v>99</v>
      </c>
      <c r="C3" s="206" t="s">
        <v>100</v>
      </c>
      <c r="D3" s="44" t="s">
        <v>101</v>
      </c>
    </row>
    <row r="4" spans="1:4" ht="21" customHeight="1" thickBot="1">
      <c r="A4" s="107"/>
      <c r="B4" s="111" t="s">
        <v>83</v>
      </c>
      <c r="C4" s="207" t="s">
        <v>306</v>
      </c>
      <c r="D4" s="213" t="s">
        <v>381</v>
      </c>
    </row>
    <row r="5" spans="1:4" ht="12" customHeight="1">
      <c r="A5" s="104" t="s">
        <v>0</v>
      </c>
      <c r="B5" s="96" t="s">
        <v>331</v>
      </c>
      <c r="C5" s="197">
        <f>C6+C7+C8</f>
        <v>1507023</v>
      </c>
      <c r="D5" s="97">
        <f>D6+D7+D8</f>
        <v>1507023</v>
      </c>
    </row>
    <row r="6" spans="1:4" ht="12" customHeight="1">
      <c r="A6" s="104" t="s">
        <v>2</v>
      </c>
      <c r="B6" s="2" t="s">
        <v>332</v>
      </c>
      <c r="C6" s="198">
        <v>222139</v>
      </c>
      <c r="D6" s="33">
        <v>222139</v>
      </c>
    </row>
    <row r="7" spans="1:4" ht="12" customHeight="1">
      <c r="A7" s="104" t="s">
        <v>3</v>
      </c>
      <c r="B7" s="2" t="s">
        <v>280</v>
      </c>
      <c r="C7" s="198">
        <v>60500</v>
      </c>
      <c r="D7" s="33">
        <v>60500</v>
      </c>
    </row>
    <row r="8" spans="1:4" ht="12" customHeight="1">
      <c r="A8" s="104" t="s">
        <v>4</v>
      </c>
      <c r="B8" s="2" t="s">
        <v>333</v>
      </c>
      <c r="C8" s="198">
        <f>SUM(C9:C15)</f>
        <v>1224384</v>
      </c>
      <c r="D8" s="33">
        <f>SUM(D9:D15)</f>
        <v>1224384</v>
      </c>
    </row>
    <row r="9" spans="1:4" ht="12" customHeight="1">
      <c r="A9" s="104" t="s">
        <v>5</v>
      </c>
      <c r="B9" s="3" t="s">
        <v>21</v>
      </c>
      <c r="C9" s="42">
        <v>820000</v>
      </c>
      <c r="D9" s="32">
        <v>820000</v>
      </c>
    </row>
    <row r="10" spans="1:4" ht="12" customHeight="1">
      <c r="A10" s="104" t="s">
        <v>7</v>
      </c>
      <c r="B10" s="3" t="s">
        <v>22</v>
      </c>
      <c r="C10" s="42">
        <v>49500</v>
      </c>
      <c r="D10" s="32">
        <v>49500</v>
      </c>
    </row>
    <row r="11" spans="1:4" ht="12" customHeight="1">
      <c r="A11" s="104" t="s">
        <v>9</v>
      </c>
      <c r="B11" s="3" t="s">
        <v>24</v>
      </c>
      <c r="C11" s="42">
        <v>2000</v>
      </c>
      <c r="D11" s="32">
        <v>2000</v>
      </c>
    </row>
    <row r="12" spans="1:4" ht="12" customHeight="1">
      <c r="A12" s="104" t="s">
        <v>14</v>
      </c>
      <c r="B12" s="3" t="s">
        <v>279</v>
      </c>
      <c r="C12" s="42">
        <v>108000</v>
      </c>
      <c r="D12" s="32">
        <v>108000</v>
      </c>
    </row>
    <row r="13" spans="1:4" ht="12" customHeight="1">
      <c r="A13" s="104" t="s">
        <v>10</v>
      </c>
      <c r="B13" s="3" t="s">
        <v>26</v>
      </c>
      <c r="C13" s="42">
        <v>228094</v>
      </c>
      <c r="D13" s="32">
        <v>228094</v>
      </c>
    </row>
    <row r="14" spans="1:4" ht="12" customHeight="1">
      <c r="A14" s="104" t="s">
        <v>11</v>
      </c>
      <c r="B14" s="3" t="s">
        <v>27</v>
      </c>
      <c r="C14" s="42">
        <v>9790</v>
      </c>
      <c r="D14" s="32">
        <v>9790</v>
      </c>
    </row>
    <row r="15" spans="1:4" ht="12" customHeight="1">
      <c r="A15" s="104" t="s">
        <v>15</v>
      </c>
      <c r="B15" s="3" t="s">
        <v>28</v>
      </c>
      <c r="C15" s="42">
        <v>7000</v>
      </c>
      <c r="D15" s="32">
        <v>7000</v>
      </c>
    </row>
    <row r="16" spans="1:4" ht="12" customHeight="1">
      <c r="A16" s="104" t="s">
        <v>60</v>
      </c>
      <c r="B16" s="3"/>
      <c r="C16" s="42"/>
      <c r="D16" s="32"/>
    </row>
    <row r="17" spans="1:4" ht="12" customHeight="1">
      <c r="A17" s="104" t="s">
        <v>61</v>
      </c>
      <c r="B17" s="2" t="s">
        <v>334</v>
      </c>
      <c r="C17" s="198">
        <f>SUM(C18:C26)</f>
        <v>1556025</v>
      </c>
      <c r="D17" s="33">
        <f>SUM(D18:D26)</f>
        <v>1612326</v>
      </c>
    </row>
    <row r="18" spans="1:4" ht="12" customHeight="1">
      <c r="A18" s="104" t="s">
        <v>62</v>
      </c>
      <c r="B18" s="3" t="s">
        <v>30</v>
      </c>
      <c r="C18" s="42">
        <v>1404424</v>
      </c>
      <c r="D18" s="32">
        <v>1404424</v>
      </c>
    </row>
    <row r="19" spans="1:4" ht="12" customHeight="1">
      <c r="A19" s="104" t="s">
        <v>63</v>
      </c>
      <c r="B19" s="3" t="s">
        <v>31</v>
      </c>
      <c r="C19" s="42">
        <v>151601</v>
      </c>
      <c r="D19" s="32">
        <v>151601</v>
      </c>
    </row>
    <row r="20" spans="1:4" ht="12" customHeight="1">
      <c r="A20" s="104" t="s">
        <v>64</v>
      </c>
      <c r="B20" s="3" t="s">
        <v>32</v>
      </c>
      <c r="C20" s="42">
        <v>0</v>
      </c>
      <c r="D20" s="32">
        <v>0</v>
      </c>
    </row>
    <row r="21" spans="1:4" ht="12" customHeight="1">
      <c r="A21" s="104" t="s">
        <v>65</v>
      </c>
      <c r="B21" s="3" t="s">
        <v>33</v>
      </c>
      <c r="C21" s="42">
        <v>0</v>
      </c>
      <c r="D21" s="32">
        <f>0+55000</f>
        <v>55000</v>
      </c>
    </row>
    <row r="22" spans="1:4" ht="12" customHeight="1">
      <c r="A22" s="104" t="s">
        <v>66</v>
      </c>
      <c r="B22" s="3" t="s">
        <v>281</v>
      </c>
      <c r="C22" s="42"/>
      <c r="D22" s="32"/>
    </row>
    <row r="23" spans="1:4" ht="12" customHeight="1">
      <c r="A23" s="104" t="s">
        <v>68</v>
      </c>
      <c r="B23" s="3" t="s">
        <v>34</v>
      </c>
      <c r="C23" s="42"/>
      <c r="D23" s="32">
        <f>1301</f>
        <v>1301</v>
      </c>
    </row>
    <row r="24" spans="1:4" ht="12" customHeight="1">
      <c r="A24" s="104" t="s">
        <v>69</v>
      </c>
      <c r="B24" s="3" t="s">
        <v>81</v>
      </c>
      <c r="C24" s="42"/>
      <c r="D24" s="32"/>
    </row>
    <row r="25" spans="1:4" ht="12" customHeight="1">
      <c r="A25" s="104" t="s">
        <v>70</v>
      </c>
      <c r="B25" s="3" t="s">
        <v>360</v>
      </c>
      <c r="C25" s="42"/>
      <c r="D25" s="32"/>
    </row>
    <row r="26" spans="1:4" ht="12" customHeight="1">
      <c r="A26" s="104" t="s">
        <v>107</v>
      </c>
      <c r="B26" s="3"/>
      <c r="C26" s="42"/>
      <c r="D26" s="32"/>
    </row>
    <row r="27" spans="1:4" ht="12" customHeight="1">
      <c r="A27" s="104" t="s">
        <v>108</v>
      </c>
      <c r="B27" s="2" t="s">
        <v>335</v>
      </c>
      <c r="C27" s="198">
        <f>SUM(C28:C31)</f>
        <v>262585</v>
      </c>
      <c r="D27" s="33">
        <f>SUM(D28:D31)</f>
        <v>262585</v>
      </c>
    </row>
    <row r="28" spans="1:4" ht="12" customHeight="1">
      <c r="A28" s="104" t="s">
        <v>109</v>
      </c>
      <c r="B28" s="3" t="s">
        <v>336</v>
      </c>
      <c r="C28" s="42">
        <v>145051</v>
      </c>
      <c r="D28" s="32">
        <v>145051</v>
      </c>
    </row>
    <row r="29" spans="1:4" ht="12" customHeight="1">
      <c r="A29" s="104" t="s">
        <v>110</v>
      </c>
      <c r="B29" s="3" t="s">
        <v>337</v>
      </c>
      <c r="C29" s="42">
        <v>9060</v>
      </c>
      <c r="D29" s="32">
        <v>9060</v>
      </c>
    </row>
    <row r="30" spans="1:4" ht="12" customHeight="1">
      <c r="A30" s="104" t="s">
        <v>111</v>
      </c>
      <c r="B30" s="3" t="s">
        <v>338</v>
      </c>
      <c r="C30" s="42"/>
      <c r="D30" s="32"/>
    </row>
    <row r="31" spans="1:4" ht="12" customHeight="1">
      <c r="A31" s="104" t="s">
        <v>112</v>
      </c>
      <c r="B31" s="3" t="s">
        <v>339</v>
      </c>
      <c r="C31" s="42">
        <f>70000+38474</f>
        <v>108474</v>
      </c>
      <c r="D31" s="32">
        <f>70000+38474</f>
        <v>108474</v>
      </c>
    </row>
    <row r="32" spans="1:4" s="4" customFormat="1" ht="12" customHeight="1">
      <c r="A32" s="104" t="s">
        <v>113</v>
      </c>
      <c r="B32" s="2" t="s">
        <v>340</v>
      </c>
      <c r="C32" s="198">
        <f>C33+C35</f>
        <v>4324268</v>
      </c>
      <c r="D32" s="33">
        <f>D33+D35</f>
        <v>4339426</v>
      </c>
    </row>
    <row r="33" spans="1:4" ht="12" customHeight="1">
      <c r="A33" s="104" t="s">
        <v>114</v>
      </c>
      <c r="B33" s="3" t="s">
        <v>341</v>
      </c>
      <c r="C33" s="42">
        <v>4223811</v>
      </c>
      <c r="D33" s="32">
        <f>4223811+15158</f>
        <v>4238969</v>
      </c>
    </row>
    <row r="34" spans="1:4" ht="12" customHeight="1">
      <c r="A34" s="104" t="s">
        <v>115</v>
      </c>
      <c r="B34" s="2" t="s">
        <v>277</v>
      </c>
      <c r="C34" s="42">
        <f>3668587+1000</f>
        <v>3669587</v>
      </c>
      <c r="D34" s="32">
        <f>3668587+1000</f>
        <v>3669587</v>
      </c>
    </row>
    <row r="35" spans="1:4" ht="12" customHeight="1">
      <c r="A35" s="104" t="s">
        <v>116</v>
      </c>
      <c r="B35" s="2" t="s">
        <v>342</v>
      </c>
      <c r="C35" s="42">
        <f>C36+457</f>
        <v>100457</v>
      </c>
      <c r="D35" s="32">
        <f>D36+457</f>
        <v>100457</v>
      </c>
    </row>
    <row r="36" spans="1:4" ht="12" customHeight="1">
      <c r="A36" s="104" t="s">
        <v>117</v>
      </c>
      <c r="B36" s="3" t="s">
        <v>278</v>
      </c>
      <c r="C36" s="42">
        <v>100000</v>
      </c>
      <c r="D36" s="32">
        <v>100000</v>
      </c>
    </row>
    <row r="37" spans="1:4" ht="12" customHeight="1">
      <c r="A37" s="104" t="s">
        <v>118</v>
      </c>
      <c r="B37" s="2" t="s">
        <v>343</v>
      </c>
      <c r="C37" s="198">
        <f>C38+C39</f>
        <v>915719</v>
      </c>
      <c r="D37" s="33">
        <f>D38+D39</f>
        <v>928629</v>
      </c>
    </row>
    <row r="38" spans="1:4" ht="12" customHeight="1">
      <c r="A38" s="104" t="s">
        <v>119</v>
      </c>
      <c r="B38" s="3" t="s">
        <v>344</v>
      </c>
      <c r="C38" s="42"/>
      <c r="D38" s="32">
        <v>12910</v>
      </c>
    </row>
    <row r="39" spans="1:4" ht="12" customHeight="1">
      <c r="A39" s="104" t="s">
        <v>120</v>
      </c>
      <c r="B39" s="3" t="s">
        <v>345</v>
      </c>
      <c r="C39" s="42">
        <f>105822+809897</f>
        <v>915719</v>
      </c>
      <c r="D39" s="32">
        <f>105822+809897</f>
        <v>915719</v>
      </c>
    </row>
    <row r="40" spans="1:4" ht="12" customHeight="1">
      <c r="A40" s="104" t="s">
        <v>121</v>
      </c>
      <c r="B40" s="2" t="s">
        <v>346</v>
      </c>
      <c r="C40" s="198">
        <v>11000</v>
      </c>
      <c r="D40" s="33">
        <v>11000</v>
      </c>
    </row>
    <row r="41" spans="1:4" ht="12" customHeight="1" thickBot="1">
      <c r="A41" s="104" t="s">
        <v>122</v>
      </c>
      <c r="B41" s="98"/>
      <c r="C41" s="251"/>
      <c r="D41" s="252"/>
    </row>
    <row r="42" spans="1:4" ht="18.75" customHeight="1" thickBot="1">
      <c r="A42" s="104" t="s">
        <v>123</v>
      </c>
      <c r="B42" s="151" t="s">
        <v>368</v>
      </c>
      <c r="C42" s="200">
        <f>SUM(C5+C17+C27+C32+C37+C40)</f>
        <v>8576620</v>
      </c>
      <c r="D42" s="156">
        <f>SUM(D5+D17+D27+D32+D37+D40)</f>
        <v>8660989</v>
      </c>
    </row>
    <row r="43" spans="1:4" ht="15.75" customHeight="1" thickBot="1">
      <c r="A43" s="104" t="s">
        <v>124</v>
      </c>
      <c r="B43" s="157" t="s">
        <v>347</v>
      </c>
      <c r="C43" s="201">
        <f>SUM(C44:C45)</f>
        <v>1015888</v>
      </c>
      <c r="D43" s="36">
        <f>SUM(D44:D45)</f>
        <v>1480827</v>
      </c>
    </row>
    <row r="44" spans="1:4" ht="12" customHeight="1">
      <c r="A44" s="104" t="s">
        <v>125</v>
      </c>
      <c r="B44" s="253" t="s">
        <v>348</v>
      </c>
      <c r="C44" s="254">
        <v>15888</v>
      </c>
      <c r="D44" s="255">
        <f>15888+175274</f>
        <v>191162</v>
      </c>
    </row>
    <row r="45" spans="1:4" ht="12" customHeight="1">
      <c r="A45" s="104" t="s">
        <v>126</v>
      </c>
      <c r="B45" s="3" t="s">
        <v>349</v>
      </c>
      <c r="C45" s="42">
        <v>1000000</v>
      </c>
      <c r="D45" s="32">
        <f>1000000+289665</f>
        <v>1289665</v>
      </c>
    </row>
    <row r="46" spans="1:4" ht="12" customHeight="1">
      <c r="A46" s="104" t="s">
        <v>127</v>
      </c>
      <c r="B46" s="3" t="s">
        <v>350</v>
      </c>
      <c r="C46" s="42"/>
      <c r="D46" s="32"/>
    </row>
    <row r="47" spans="1:4" ht="12" customHeight="1">
      <c r="A47" s="104" t="s">
        <v>128</v>
      </c>
      <c r="B47" s="3"/>
      <c r="C47" s="42"/>
      <c r="D47" s="32"/>
    </row>
    <row r="48" spans="1:4" ht="12" customHeight="1">
      <c r="A48" s="104" t="s">
        <v>129</v>
      </c>
      <c r="B48" s="2" t="s">
        <v>351</v>
      </c>
      <c r="C48" s="198"/>
      <c r="D48" s="33"/>
    </row>
    <row r="49" spans="1:4" ht="12" customHeight="1">
      <c r="A49" s="104" t="s">
        <v>144</v>
      </c>
      <c r="B49" s="3" t="s">
        <v>352</v>
      </c>
      <c r="C49" s="42"/>
      <c r="D49" s="32"/>
    </row>
    <row r="50" spans="1:4" ht="12" customHeight="1">
      <c r="A50" s="104" t="s">
        <v>145</v>
      </c>
      <c r="B50" s="3" t="s">
        <v>353</v>
      </c>
      <c r="C50" s="42"/>
      <c r="D50" s="32"/>
    </row>
    <row r="51" spans="1:4" ht="12" customHeight="1">
      <c r="A51" s="104" t="s">
        <v>146</v>
      </c>
      <c r="B51" s="2" t="s">
        <v>354</v>
      </c>
      <c r="C51" s="198"/>
      <c r="D51" s="33"/>
    </row>
    <row r="52" spans="1:4" ht="12" customHeight="1">
      <c r="A52" s="104" t="s">
        <v>147</v>
      </c>
      <c r="B52" s="2" t="s">
        <v>355</v>
      </c>
      <c r="C52" s="198">
        <f>SUM(C53:C55)</f>
        <v>598457</v>
      </c>
      <c r="D52" s="33">
        <f>SUM(D53:D55)</f>
        <v>597945</v>
      </c>
    </row>
    <row r="53" spans="1:4" ht="12" customHeight="1">
      <c r="A53" s="104" t="s">
        <v>148</v>
      </c>
      <c r="B53" s="3" t="s">
        <v>356</v>
      </c>
      <c r="C53" s="42"/>
      <c r="D53" s="32"/>
    </row>
    <row r="54" spans="1:4" ht="12" customHeight="1">
      <c r="A54" s="104" t="s">
        <v>149</v>
      </c>
      <c r="B54" s="3" t="s">
        <v>357</v>
      </c>
      <c r="C54" s="42">
        <v>598457</v>
      </c>
      <c r="D54" s="32">
        <f>C54-512</f>
        <v>597945</v>
      </c>
    </row>
    <row r="55" spans="1:4" ht="12" customHeight="1">
      <c r="A55" s="104" t="s">
        <v>150</v>
      </c>
      <c r="B55" s="3" t="s">
        <v>358</v>
      </c>
      <c r="C55" s="42"/>
      <c r="D55" s="32"/>
    </row>
    <row r="56" spans="1:4" ht="12" customHeight="1">
      <c r="A56" s="104" t="s">
        <v>151</v>
      </c>
      <c r="B56" s="2" t="s">
        <v>359</v>
      </c>
      <c r="C56" s="42"/>
      <c r="D56" s="32"/>
    </row>
    <row r="57" spans="1:4" ht="12" customHeight="1" thickBot="1">
      <c r="A57" s="104" t="s">
        <v>152</v>
      </c>
      <c r="B57" s="98"/>
      <c r="C57" s="203"/>
      <c r="D57" s="99"/>
    </row>
    <row r="58" spans="1:4" ht="18.75" customHeight="1" thickBot="1">
      <c r="A58" s="104" t="s">
        <v>153</v>
      </c>
      <c r="B58" s="154" t="s">
        <v>369</v>
      </c>
      <c r="C58" s="204">
        <f>SUM(C48+C51+C52+C56)</f>
        <v>598457</v>
      </c>
      <c r="D58" s="155">
        <f>SUM(D48+D51+D52+D56)</f>
        <v>597945</v>
      </c>
    </row>
    <row r="59" spans="1:4" ht="18.75" customHeight="1" thickBot="1">
      <c r="A59" s="105" t="s">
        <v>154</v>
      </c>
      <c r="B59" s="108" t="s">
        <v>299</v>
      </c>
      <c r="C59" s="205">
        <f>SUM(C42+C43+C58)</f>
        <v>10190965</v>
      </c>
      <c r="D59" s="106">
        <f>SUM(D42+D43+D58)</f>
        <v>10739761</v>
      </c>
    </row>
    <row r="60" spans="1:4" ht="12.75">
      <c r="A60" s="90"/>
      <c r="B60" s="138"/>
      <c r="C60" s="92"/>
      <c r="D60" s="138"/>
    </row>
    <row r="61" spans="1:4" ht="15">
      <c r="A61" s="326" t="s">
        <v>301</v>
      </c>
      <c r="B61" s="326"/>
      <c r="C61" s="326"/>
      <c r="D61" s="138"/>
    </row>
    <row r="62" spans="1:4" ht="13.5" thickBot="1">
      <c r="A62" s="90"/>
      <c r="B62" s="327" t="s">
        <v>82</v>
      </c>
      <c r="C62" s="327"/>
      <c r="D62" s="138"/>
    </row>
    <row r="63" spans="1:4" ht="13.5" thickBot="1">
      <c r="A63" s="115"/>
      <c r="B63" s="71" t="s">
        <v>99</v>
      </c>
      <c r="C63" s="206" t="s">
        <v>100</v>
      </c>
      <c r="D63" s="44" t="s">
        <v>101</v>
      </c>
    </row>
    <row r="64" spans="1:4" ht="21" customHeight="1" thickBot="1">
      <c r="A64" s="121"/>
      <c r="B64" s="111" t="s">
        <v>84</v>
      </c>
      <c r="C64" s="207" t="s">
        <v>306</v>
      </c>
      <c r="D64" s="213" t="s">
        <v>381</v>
      </c>
    </row>
    <row r="65" spans="1:4" ht="12.75">
      <c r="A65" s="117" t="s">
        <v>155</v>
      </c>
      <c r="B65" s="96" t="s">
        <v>361</v>
      </c>
      <c r="C65" s="197">
        <f>SUM(C66:C69)</f>
        <v>7544476</v>
      </c>
      <c r="D65" s="97">
        <f>SUM(D66:D69)</f>
        <v>7803607</v>
      </c>
    </row>
    <row r="66" spans="1:4" ht="12.75">
      <c r="A66" s="117" t="s">
        <v>156</v>
      </c>
      <c r="B66" s="3" t="s">
        <v>19</v>
      </c>
      <c r="C66" s="42">
        <v>2239402</v>
      </c>
      <c r="D66" s="32">
        <f>2239402+93046</f>
        <v>2332448</v>
      </c>
    </row>
    <row r="67" spans="1:4" ht="12.75">
      <c r="A67" s="117" t="s">
        <v>157</v>
      </c>
      <c r="B67" s="3" t="s">
        <v>20</v>
      </c>
      <c r="C67" s="42">
        <v>3729087</v>
      </c>
      <c r="D67" s="32">
        <f>3729087+28261</f>
        <v>3757348</v>
      </c>
    </row>
    <row r="68" spans="1:4" ht="12.75">
      <c r="A68" s="117" t="s">
        <v>158</v>
      </c>
      <c r="B68" s="3" t="s">
        <v>325</v>
      </c>
      <c r="C68" s="42">
        <v>762893</v>
      </c>
      <c r="D68" s="32">
        <f>762893-32394</f>
        <v>730499</v>
      </c>
    </row>
    <row r="69" spans="1:4" ht="12.75">
      <c r="A69" s="117" t="s">
        <v>327</v>
      </c>
      <c r="B69" s="3" t="s">
        <v>415</v>
      </c>
      <c r="C69" s="42">
        <v>813094</v>
      </c>
      <c r="D69" s="32">
        <f>813094+170218</f>
        <v>983312</v>
      </c>
    </row>
    <row r="70" spans="1:4" ht="12.75">
      <c r="A70" s="117" t="s">
        <v>328</v>
      </c>
      <c r="B70" s="100" t="s">
        <v>23</v>
      </c>
      <c r="C70" s="209"/>
      <c r="D70" s="80"/>
    </row>
    <row r="71" spans="1:4" ht="12.75">
      <c r="A71" s="117" t="s">
        <v>159</v>
      </c>
      <c r="B71" s="3" t="s">
        <v>25</v>
      </c>
      <c r="C71" s="42">
        <v>3960202</v>
      </c>
      <c r="D71" s="32">
        <f>3960202+28535</f>
        <v>3988737</v>
      </c>
    </row>
    <row r="72" spans="1:4" ht="12.75">
      <c r="A72" s="117" t="s">
        <v>160</v>
      </c>
      <c r="B72" s="3" t="s">
        <v>262</v>
      </c>
      <c r="C72" s="42">
        <v>1046459</v>
      </c>
      <c r="D72" s="32">
        <f>1046459+7156</f>
        <v>1053615</v>
      </c>
    </row>
    <row r="73" spans="1:4" ht="12.75">
      <c r="A73" s="117" t="s">
        <v>161</v>
      </c>
      <c r="B73" s="3" t="s">
        <v>202</v>
      </c>
      <c r="C73" s="42">
        <v>26049</v>
      </c>
      <c r="D73" s="32">
        <f>26049+2910</f>
        <v>28959</v>
      </c>
    </row>
    <row r="74" spans="1:4" ht="12.75">
      <c r="A74" s="117" t="s">
        <v>162</v>
      </c>
      <c r="B74" s="3" t="s">
        <v>263</v>
      </c>
      <c r="C74" s="42">
        <f>2529016-369660-60000-20000-1973-19700-4100</f>
        <v>2053583</v>
      </c>
      <c r="D74" s="32">
        <f>2053583+214863</f>
        <v>2268446</v>
      </c>
    </row>
    <row r="75" spans="1:4" ht="12.75">
      <c r="A75" s="117" t="s">
        <v>163</v>
      </c>
      <c r="B75" s="3" t="s">
        <v>29</v>
      </c>
      <c r="C75" s="42"/>
      <c r="D75" s="32"/>
    </row>
    <row r="76" spans="1:4" ht="12.75">
      <c r="A76" s="117" t="s">
        <v>164</v>
      </c>
      <c r="B76" s="3" t="s">
        <v>80</v>
      </c>
      <c r="C76" s="42">
        <v>60000</v>
      </c>
      <c r="D76" s="32">
        <v>60000</v>
      </c>
    </row>
    <row r="77" spans="1:4" ht="12.75">
      <c r="A77" s="117" t="s">
        <v>165</v>
      </c>
      <c r="B77" s="3" t="s">
        <v>264</v>
      </c>
      <c r="C77" s="42">
        <f>1973+19700+4100+1850+900</f>
        <v>28523</v>
      </c>
      <c r="D77" s="32">
        <f>28523+230+149</f>
        <v>28902</v>
      </c>
    </row>
    <row r="78" spans="1:4" ht="12.75">
      <c r="A78" s="117" t="s">
        <v>166</v>
      </c>
      <c r="B78" s="75" t="s">
        <v>265</v>
      </c>
      <c r="C78" s="42">
        <v>369660</v>
      </c>
      <c r="D78" s="32">
        <f>369660+5288</f>
        <v>374948</v>
      </c>
    </row>
    <row r="79" spans="1:4" ht="12.75">
      <c r="A79" s="117" t="s">
        <v>167</v>
      </c>
      <c r="B79" s="75" t="s">
        <v>276</v>
      </c>
      <c r="C79" s="42"/>
      <c r="D79" s="32"/>
    </row>
    <row r="80" spans="1:4" ht="12.75">
      <c r="A80" s="117" t="s">
        <v>168</v>
      </c>
      <c r="B80" s="75" t="s">
        <v>267</v>
      </c>
      <c r="C80" s="42"/>
      <c r="D80" s="32"/>
    </row>
    <row r="81" spans="1:4" ht="12.75">
      <c r="A81" s="117" t="s">
        <v>169</v>
      </c>
      <c r="B81" s="75" t="s">
        <v>266</v>
      </c>
      <c r="C81" s="42"/>
      <c r="D81" s="32"/>
    </row>
    <row r="82" spans="1:4" ht="12.75">
      <c r="A82" s="117" t="s">
        <v>170</v>
      </c>
      <c r="B82" s="75"/>
      <c r="C82" s="42"/>
      <c r="D82" s="32"/>
    </row>
    <row r="83" spans="1:4" ht="12.75">
      <c r="A83" s="117" t="s">
        <v>171</v>
      </c>
      <c r="B83" s="2" t="s">
        <v>362</v>
      </c>
      <c r="C83" s="198">
        <f>SUM(C84:C90)</f>
        <v>1413974</v>
      </c>
      <c r="D83" s="33">
        <f>SUM(D84:D90)</f>
        <v>1413974</v>
      </c>
    </row>
    <row r="84" spans="1:4" ht="12.75">
      <c r="A84" s="117" t="s">
        <v>172</v>
      </c>
      <c r="B84" s="3" t="s">
        <v>90</v>
      </c>
      <c r="C84" s="42">
        <v>927610</v>
      </c>
      <c r="D84" s="32">
        <v>927610</v>
      </c>
    </row>
    <row r="85" spans="1:4" ht="12.75">
      <c r="A85" s="117" t="s">
        <v>173</v>
      </c>
      <c r="B85" s="3" t="s">
        <v>91</v>
      </c>
      <c r="C85" s="42">
        <f>390837+20527</f>
        <v>411364</v>
      </c>
      <c r="D85" s="32">
        <f>411364</f>
        <v>411364</v>
      </c>
    </row>
    <row r="86" spans="1:4" ht="12.75">
      <c r="A86" s="117" t="s">
        <v>174</v>
      </c>
      <c r="B86" s="75" t="s">
        <v>285</v>
      </c>
      <c r="C86" s="42">
        <v>70000</v>
      </c>
      <c r="D86" s="32">
        <v>70000</v>
      </c>
    </row>
    <row r="87" spans="1:4" ht="12.75">
      <c r="A87" s="117" t="s">
        <v>175</v>
      </c>
      <c r="B87" s="3" t="s">
        <v>268</v>
      </c>
      <c r="C87" s="42"/>
      <c r="D87" s="32"/>
    </row>
    <row r="88" spans="1:4" ht="12.75">
      <c r="A88" s="117" t="s">
        <v>176</v>
      </c>
      <c r="B88" s="75" t="s">
        <v>292</v>
      </c>
      <c r="C88" s="42">
        <v>5000</v>
      </c>
      <c r="D88" s="32">
        <v>5000</v>
      </c>
    </row>
    <row r="89" spans="1:4" ht="12.75">
      <c r="A89" s="117" t="s">
        <v>177</v>
      </c>
      <c r="B89" s="3" t="s">
        <v>92</v>
      </c>
      <c r="C89" s="42"/>
      <c r="D89" s="32"/>
    </row>
    <row r="90" spans="1:4" ht="12.75">
      <c r="A90" s="117" t="s">
        <v>178</v>
      </c>
      <c r="B90" s="75" t="s">
        <v>270</v>
      </c>
      <c r="C90" s="42"/>
      <c r="D90" s="32"/>
    </row>
    <row r="91" spans="1:4" ht="12.75">
      <c r="A91" s="117" t="s">
        <v>179</v>
      </c>
      <c r="B91" s="75" t="s">
        <v>286</v>
      </c>
      <c r="C91" s="42"/>
      <c r="D91" s="32"/>
    </row>
    <row r="92" spans="1:4" ht="12.75">
      <c r="A92" s="117" t="s">
        <v>180</v>
      </c>
      <c r="B92" s="75"/>
      <c r="C92" s="42"/>
      <c r="D92" s="32"/>
    </row>
    <row r="93" spans="1:4" ht="12.75">
      <c r="A93" s="117" t="s">
        <v>181</v>
      </c>
      <c r="B93" s="2" t="s">
        <v>363</v>
      </c>
      <c r="C93" s="198">
        <f>SUM(C94:C96)</f>
        <v>754236</v>
      </c>
      <c r="D93" s="33">
        <f>SUM(D94:D96)</f>
        <v>1043901</v>
      </c>
    </row>
    <row r="94" spans="1:4" ht="12.75">
      <c r="A94" s="117" t="s">
        <v>182</v>
      </c>
      <c r="B94" s="3" t="s">
        <v>287</v>
      </c>
      <c r="C94" s="42"/>
      <c r="D94" s="32"/>
    </row>
    <row r="95" spans="1:4" ht="12.75">
      <c r="A95" s="117" t="s">
        <v>183</v>
      </c>
      <c r="B95" s="3" t="s">
        <v>288</v>
      </c>
      <c r="C95" s="42">
        <v>20000</v>
      </c>
      <c r="D95" s="32">
        <v>20000</v>
      </c>
    </row>
    <row r="96" spans="1:4" ht="12.75">
      <c r="A96" s="117" t="s">
        <v>184</v>
      </c>
      <c r="B96" s="3" t="s">
        <v>289</v>
      </c>
      <c r="C96" s="42">
        <f>754763-20527</f>
        <v>734236</v>
      </c>
      <c r="D96" s="32">
        <f>734236+289665</f>
        <v>1023901</v>
      </c>
    </row>
    <row r="97" spans="1:4" ht="13.5" thickBot="1">
      <c r="A97" s="117" t="s">
        <v>185</v>
      </c>
      <c r="B97" s="98" t="s">
        <v>364</v>
      </c>
      <c r="C97" s="203"/>
      <c r="D97" s="99"/>
    </row>
    <row r="98" spans="1:4" ht="18.75" customHeight="1" thickBot="1">
      <c r="A98" s="117" t="s">
        <v>186</v>
      </c>
      <c r="B98" s="151" t="s">
        <v>370</v>
      </c>
      <c r="C98" s="208">
        <f>SUM(C65+C83+C93+C97)</f>
        <v>9712686</v>
      </c>
      <c r="D98" s="152">
        <f>SUM(D65+D83+D93+D97)</f>
        <v>10261482</v>
      </c>
    </row>
    <row r="99" spans="1:4" ht="12.75">
      <c r="A99" s="117" t="s">
        <v>187</v>
      </c>
      <c r="B99" s="2" t="s">
        <v>365</v>
      </c>
      <c r="C99" s="198">
        <f>SUM(C100:C103)</f>
        <v>478279</v>
      </c>
      <c r="D99" s="33">
        <f>SUM(D100:D103)</f>
        <v>478279</v>
      </c>
    </row>
    <row r="100" spans="1:4" ht="12.75">
      <c r="A100" s="117" t="s">
        <v>188</v>
      </c>
      <c r="B100" s="3" t="s">
        <v>71</v>
      </c>
      <c r="C100" s="42">
        <f>91771+42243+7537</f>
        <v>141551</v>
      </c>
      <c r="D100" s="32">
        <f>91771+42243+7537</f>
        <v>141551</v>
      </c>
    </row>
    <row r="101" spans="1:4" ht="12.75">
      <c r="A101" s="117" t="s">
        <v>189</v>
      </c>
      <c r="B101" s="3" t="s">
        <v>98</v>
      </c>
      <c r="C101" s="42">
        <v>100000</v>
      </c>
      <c r="D101" s="32">
        <v>100000</v>
      </c>
    </row>
    <row r="102" spans="1:4" ht="12.75">
      <c r="A102" s="117" t="s">
        <v>190</v>
      </c>
      <c r="B102" s="100" t="s">
        <v>275</v>
      </c>
      <c r="C102" s="209">
        <v>236728</v>
      </c>
      <c r="D102" s="80">
        <v>236728</v>
      </c>
    </row>
    <row r="103" spans="1:4" ht="12.75" customHeight="1">
      <c r="A103" s="117" t="s">
        <v>191</v>
      </c>
      <c r="B103" s="101" t="s">
        <v>366</v>
      </c>
      <c r="C103" s="42"/>
      <c r="D103" s="32"/>
    </row>
    <row r="104" spans="1:4" ht="12.75">
      <c r="A104" s="117" t="s">
        <v>192</v>
      </c>
      <c r="B104" s="75" t="s">
        <v>273</v>
      </c>
      <c r="C104" s="42"/>
      <c r="D104" s="32"/>
    </row>
    <row r="105" spans="1:4" ht="12.75">
      <c r="A105" s="117" t="s">
        <v>193</v>
      </c>
      <c r="B105" s="75" t="s">
        <v>274</v>
      </c>
      <c r="C105" s="42"/>
      <c r="D105" s="32"/>
    </row>
    <row r="106" spans="1:4" ht="13.5" thickBot="1">
      <c r="A106" s="117" t="s">
        <v>194</v>
      </c>
      <c r="B106" s="2" t="s">
        <v>367</v>
      </c>
      <c r="C106" s="210"/>
      <c r="D106" s="35"/>
    </row>
    <row r="107" spans="1:4" ht="18.75" customHeight="1" thickBot="1">
      <c r="A107" s="117" t="s">
        <v>195</v>
      </c>
      <c r="B107" s="153" t="s">
        <v>371</v>
      </c>
      <c r="C107" s="208">
        <f>SUM(C99+C103+C106)</f>
        <v>478279</v>
      </c>
      <c r="D107" s="152">
        <f>SUM(D99+D103+D106)</f>
        <v>478279</v>
      </c>
    </row>
    <row r="108" spans="1:4" ht="18.75" customHeight="1" thickBot="1">
      <c r="A108" s="117" t="s">
        <v>196</v>
      </c>
      <c r="B108" s="102" t="s">
        <v>329</v>
      </c>
      <c r="C108" s="201">
        <f>SUM(C98+C107)</f>
        <v>10190965</v>
      </c>
      <c r="D108" s="36">
        <f>SUM(D98+D107)</f>
        <v>10739761</v>
      </c>
    </row>
    <row r="109" spans="1:4" ht="13.5" thickBot="1">
      <c r="A109" s="117" t="s">
        <v>197</v>
      </c>
      <c r="B109" s="120"/>
      <c r="C109" s="211"/>
      <c r="D109" s="73"/>
    </row>
    <row r="110" spans="1:4" ht="18.75" customHeight="1" thickBot="1">
      <c r="A110" s="117" t="s">
        <v>198</v>
      </c>
      <c r="B110" s="122" t="s">
        <v>330</v>
      </c>
      <c r="C110" s="212">
        <f>SUM(C42-C98)</f>
        <v>-1136066</v>
      </c>
      <c r="D110" s="82">
        <f>SUM(D42-D98)</f>
        <v>-1600493</v>
      </c>
    </row>
    <row r="111" spans="1:4" ht="30" customHeight="1" thickBot="1">
      <c r="A111" s="117" t="s">
        <v>199</v>
      </c>
      <c r="B111" s="150" t="s">
        <v>372</v>
      </c>
      <c r="C111" s="201">
        <f>C110+C43</f>
        <v>-120178</v>
      </c>
      <c r="D111" s="36">
        <f>D110+D43</f>
        <v>-119666</v>
      </c>
    </row>
    <row r="112" spans="1:4" ht="18.75" customHeight="1" thickBot="1">
      <c r="A112" s="118" t="s">
        <v>200</v>
      </c>
      <c r="B112" s="119" t="s">
        <v>373</v>
      </c>
      <c r="C112" s="212">
        <f>SUM(C58-C107)</f>
        <v>120178</v>
      </c>
      <c r="D112" s="82">
        <f>SUM(D58-D107)</f>
        <v>119666</v>
      </c>
    </row>
  </sheetData>
  <mergeCells count="4">
    <mergeCell ref="A1:C1"/>
    <mergeCell ref="A61:C61"/>
    <mergeCell ref="B2:C2"/>
    <mergeCell ref="B62:C62"/>
  </mergeCells>
  <printOptions horizontalCentered="1" verticalCentered="1"/>
  <pageMargins left="0.3937007874015748" right="0.3937007874015748" top="0.7874015748031497" bottom="0.4724409448818898" header="0.3937007874015748" footer="0.07874015748031496"/>
  <pageSetup horizontalDpi="600" verticalDpi="600" orientation="portrait" scale="95" r:id="rId1"/>
  <headerFooter alignWithMargins="0">
    <oddHeader xml:space="preserve">&amp;L&amp;8  1. melléklet a …/…..(….) önkormányzati rendelethez&amp;C&amp;"Arial CE,Félkövér"&amp;11
Kisvárda Város Önkormányzata 2012. évi költségvetésének pénzügyi mérlege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45"/>
  <sheetViews>
    <sheetView workbookViewId="0" topLeftCell="A1">
      <pane xSplit="2" ySplit="4" topLeftCell="C8" activePane="bottomRight" state="frozen"/>
      <selection pane="topLeft" activeCell="B49" sqref="B49:B51"/>
      <selection pane="topRight" activeCell="B49" sqref="B49:B51"/>
      <selection pane="bottomLeft" activeCell="B49" sqref="B49:B51"/>
      <selection pane="bottomRight" activeCell="G19" sqref="G19"/>
    </sheetView>
  </sheetViews>
  <sheetFormatPr defaultColWidth="9.00390625" defaultRowHeight="12.75"/>
  <cols>
    <col min="1" max="1" width="3.25390625" style="1" customWidth="1"/>
    <col min="2" max="2" width="38.75390625" style="1" customWidth="1"/>
    <col min="3" max="3" width="9.75390625" style="1" customWidth="1"/>
    <col min="4" max="4" width="11.00390625" style="1" customWidth="1"/>
    <col min="5" max="5" width="33.25390625" style="1" customWidth="1"/>
    <col min="6" max="6" width="9.625" style="1" customWidth="1"/>
    <col min="7" max="7" width="10.75390625" style="1" customWidth="1"/>
    <col min="8" max="16384" width="9.125" style="1" customWidth="1"/>
  </cols>
  <sheetData>
    <row r="2" spans="5:6" ht="12.75" customHeight="1" thickBot="1">
      <c r="E2" s="327" t="s">
        <v>82</v>
      </c>
      <c r="F2" s="327"/>
    </row>
    <row r="3" spans="1:7" ht="12.75" customHeight="1" thickBot="1">
      <c r="A3" s="115"/>
      <c r="B3" s="236" t="s">
        <v>99</v>
      </c>
      <c r="C3" s="237" t="s">
        <v>100</v>
      </c>
      <c r="D3" s="238" t="s">
        <v>101</v>
      </c>
      <c r="E3" s="233" t="s">
        <v>102</v>
      </c>
      <c r="F3" s="95" t="s">
        <v>103</v>
      </c>
      <c r="G3" s="234" t="s">
        <v>104</v>
      </c>
    </row>
    <row r="4" spans="1:7" ht="23.25" customHeight="1" thickBot="1">
      <c r="A4" s="116"/>
      <c r="B4" s="235" t="s">
        <v>17</v>
      </c>
      <c r="C4" s="207" t="s">
        <v>307</v>
      </c>
      <c r="D4" s="213" t="s">
        <v>381</v>
      </c>
      <c r="E4" s="218" t="s">
        <v>18</v>
      </c>
      <c r="F4" s="110" t="s">
        <v>307</v>
      </c>
      <c r="G4" s="213" t="s">
        <v>381</v>
      </c>
    </row>
    <row r="5" spans="1:7" ht="12" customHeight="1">
      <c r="A5" s="117" t="s">
        <v>0</v>
      </c>
      <c r="B5" s="229" t="s">
        <v>247</v>
      </c>
      <c r="C5" s="222">
        <v>282639</v>
      </c>
      <c r="D5" s="223">
        <v>282639</v>
      </c>
      <c r="E5" s="83" t="s">
        <v>222</v>
      </c>
      <c r="F5" s="214">
        <f>'1.sz.mérleg ÚJ (2)'!C71</f>
        <v>3960202</v>
      </c>
      <c r="G5" s="81">
        <f>'1.sz.mérleg ÚJ (2)'!D71</f>
        <v>3988737</v>
      </c>
    </row>
    <row r="6" spans="1:7" ht="12" customHeight="1">
      <c r="A6" s="117" t="s">
        <v>2</v>
      </c>
      <c r="B6" s="75" t="s">
        <v>248</v>
      </c>
      <c r="C6" s="42">
        <f>'1.sz.mérleg ÚJ (2)'!C8</f>
        <v>1224384</v>
      </c>
      <c r="D6" s="32">
        <f>'1.sz.mérleg ÚJ (2)'!D8</f>
        <v>1224384</v>
      </c>
      <c r="E6" s="84" t="s">
        <v>223</v>
      </c>
      <c r="F6" s="42">
        <f>'1.sz.mérleg ÚJ (2)'!C72</f>
        <v>1046459</v>
      </c>
      <c r="G6" s="32">
        <f>'1.sz.mérleg ÚJ (2)'!D72</f>
        <v>1053615</v>
      </c>
    </row>
    <row r="7" spans="1:7" ht="12" customHeight="1">
      <c r="A7" s="117" t="s">
        <v>3</v>
      </c>
      <c r="B7" s="75" t="s">
        <v>213</v>
      </c>
      <c r="C7" s="42">
        <f>'1.sz.mérleg ÚJ (2)'!C17</f>
        <v>1556025</v>
      </c>
      <c r="D7" s="32">
        <f>'1.sz.mérleg ÚJ (2)'!D17</f>
        <v>1612326</v>
      </c>
      <c r="E7" s="84" t="s">
        <v>290</v>
      </c>
      <c r="F7" s="42">
        <f>'1.sz.mérleg ÚJ (2)'!C74</f>
        <v>2053583</v>
      </c>
      <c r="G7" s="32">
        <f>'1.sz.mérleg ÚJ (2)'!D74</f>
        <v>2268446</v>
      </c>
    </row>
    <row r="8" spans="1:7" ht="12" customHeight="1">
      <c r="A8" s="117" t="s">
        <v>4</v>
      </c>
      <c r="B8" s="230" t="s">
        <v>237</v>
      </c>
      <c r="C8" s="42">
        <f>'1.sz.mérleg ÚJ (2)'!C33</f>
        <v>4223811</v>
      </c>
      <c r="D8" s="32">
        <f>'1.sz.mérleg ÚJ (2)'!D33</f>
        <v>4238969</v>
      </c>
      <c r="E8" s="43" t="s">
        <v>291</v>
      </c>
      <c r="F8" s="42"/>
      <c r="G8" s="32"/>
    </row>
    <row r="9" spans="1:7" ht="12" customHeight="1">
      <c r="A9" s="117" t="s">
        <v>5</v>
      </c>
      <c r="B9" s="75" t="s">
        <v>249</v>
      </c>
      <c r="C9" s="42"/>
      <c r="D9" s="32">
        <v>12910</v>
      </c>
      <c r="E9" s="84" t="s">
        <v>225</v>
      </c>
      <c r="F9" s="42">
        <v>60000</v>
      </c>
      <c r="G9" s="32">
        <v>60000</v>
      </c>
    </row>
    <row r="10" spans="1:7" ht="12" customHeight="1">
      <c r="A10" s="117" t="s">
        <v>7</v>
      </c>
      <c r="B10" s="75" t="s">
        <v>246</v>
      </c>
      <c r="C10" s="42"/>
      <c r="D10" s="32"/>
      <c r="E10" s="84" t="s">
        <v>67</v>
      </c>
      <c r="F10" s="42">
        <f>'1.sz.mérleg ÚJ (2)'!C73</f>
        <v>26049</v>
      </c>
      <c r="G10" s="32">
        <f>'1.sz.mérleg ÚJ (2)'!D73</f>
        <v>28959</v>
      </c>
    </row>
    <row r="11" spans="1:7" ht="12" customHeight="1">
      <c r="A11" s="117" t="s">
        <v>9</v>
      </c>
      <c r="B11" s="75"/>
      <c r="C11" s="42"/>
      <c r="D11" s="32"/>
      <c r="E11" s="84" t="s">
        <v>255</v>
      </c>
      <c r="F11" s="42">
        <f>'1.sz.mérleg ÚJ (2)'!C77</f>
        <v>28523</v>
      </c>
      <c r="G11" s="32">
        <f>'1.sz.mérleg ÚJ (2)'!D77</f>
        <v>28902</v>
      </c>
    </row>
    <row r="12" spans="1:7" ht="12" customHeight="1">
      <c r="A12" s="117" t="s">
        <v>14</v>
      </c>
      <c r="B12" s="75"/>
      <c r="C12" s="42"/>
      <c r="D12" s="32"/>
      <c r="E12" s="84" t="s">
        <v>254</v>
      </c>
      <c r="F12" s="42">
        <f>'1.sz.mérleg ÚJ (2)'!C78</f>
        <v>369660</v>
      </c>
      <c r="G12" s="32">
        <f>'1.sz.mérleg ÚJ (2)'!D78</f>
        <v>374948</v>
      </c>
    </row>
    <row r="13" spans="1:7" ht="12" customHeight="1">
      <c r="A13" s="117" t="s">
        <v>10</v>
      </c>
      <c r="B13" s="75"/>
      <c r="C13" s="42"/>
      <c r="D13" s="32"/>
      <c r="E13" s="84" t="s">
        <v>256</v>
      </c>
      <c r="F13" s="42"/>
      <c r="G13" s="32"/>
    </row>
    <row r="14" spans="1:7" ht="12" customHeight="1">
      <c r="A14" s="117" t="s">
        <v>11</v>
      </c>
      <c r="B14" s="75"/>
      <c r="C14" s="42"/>
      <c r="D14" s="32"/>
      <c r="E14" s="84" t="s">
        <v>298</v>
      </c>
      <c r="F14" s="42"/>
      <c r="G14" s="32"/>
    </row>
    <row r="15" spans="1:7" ht="12" customHeight="1">
      <c r="A15" s="117" t="s">
        <v>15</v>
      </c>
      <c r="B15" s="75"/>
      <c r="C15" s="42"/>
      <c r="D15" s="32"/>
      <c r="E15" s="84" t="s">
        <v>224</v>
      </c>
      <c r="F15" s="42"/>
      <c r="G15" s="32"/>
    </row>
    <row r="16" spans="1:7" ht="12" customHeight="1" thickBot="1">
      <c r="A16" s="117" t="s">
        <v>60</v>
      </c>
      <c r="B16" s="231"/>
      <c r="C16" s="203"/>
      <c r="D16" s="99"/>
      <c r="E16" s="232" t="s">
        <v>59</v>
      </c>
      <c r="F16" s="203">
        <v>20000</v>
      </c>
      <c r="G16" s="99">
        <v>20000</v>
      </c>
    </row>
    <row r="17" spans="1:7" ht="22.5" customHeight="1" thickBot="1">
      <c r="A17" s="117" t="s">
        <v>61</v>
      </c>
      <c r="B17" s="77" t="s">
        <v>214</v>
      </c>
      <c r="C17" s="215">
        <f>SUM(C5:C16)</f>
        <v>7286859</v>
      </c>
      <c r="D17" s="123">
        <f>SUM(D5:D16)</f>
        <v>7371228</v>
      </c>
      <c r="E17" s="219" t="s">
        <v>226</v>
      </c>
      <c r="F17" s="215">
        <f>SUM(F5:F16)</f>
        <v>7564476</v>
      </c>
      <c r="G17" s="123">
        <f>SUM(G5:G16)</f>
        <v>7823607</v>
      </c>
    </row>
    <row r="18" spans="1:7" ht="21.75" customHeight="1">
      <c r="A18" s="117" t="s">
        <v>62</v>
      </c>
      <c r="B18" s="220" t="s">
        <v>250</v>
      </c>
      <c r="C18" s="197">
        <v>15888</v>
      </c>
      <c r="D18" s="97">
        <f>'1.sz.mérleg ÚJ (2)'!D44</f>
        <v>191162</v>
      </c>
      <c r="E18" s="221" t="s">
        <v>227</v>
      </c>
      <c r="F18" s="222">
        <v>100000</v>
      </c>
      <c r="G18" s="223">
        <v>100000</v>
      </c>
    </row>
    <row r="19" spans="1:7" ht="12" customHeight="1">
      <c r="A19" s="117" t="s">
        <v>63</v>
      </c>
      <c r="B19" s="224" t="s">
        <v>252</v>
      </c>
      <c r="C19" s="198"/>
      <c r="D19" s="33"/>
      <c r="E19" s="84" t="s">
        <v>228</v>
      </c>
      <c r="F19" s="42">
        <v>236728</v>
      </c>
      <c r="G19" s="32">
        <v>236728</v>
      </c>
    </row>
    <row r="20" spans="1:7" ht="12" customHeight="1">
      <c r="A20" s="117" t="s">
        <v>64</v>
      </c>
      <c r="B20" s="75" t="s">
        <v>251</v>
      </c>
      <c r="C20" s="42"/>
      <c r="D20" s="32"/>
      <c r="E20" s="84" t="s">
        <v>229</v>
      </c>
      <c r="F20" s="216"/>
      <c r="G20" s="34"/>
    </row>
    <row r="21" spans="1:7" ht="12" customHeight="1">
      <c r="A21" s="117" t="s">
        <v>65</v>
      </c>
      <c r="B21" s="75" t="s">
        <v>216</v>
      </c>
      <c r="C21" s="42">
        <v>598457</v>
      </c>
      <c r="D21" s="32">
        <f>598457-512</f>
        <v>597945</v>
      </c>
      <c r="E21" s="84" t="s">
        <v>271</v>
      </c>
      <c r="F21" s="198"/>
      <c r="G21" s="33"/>
    </row>
    <row r="22" spans="1:7" ht="12" customHeight="1">
      <c r="A22" s="117" t="s">
        <v>66</v>
      </c>
      <c r="B22" s="75" t="s">
        <v>217</v>
      </c>
      <c r="C22" s="42"/>
      <c r="D22" s="32"/>
      <c r="E22" s="88" t="s">
        <v>230</v>
      </c>
      <c r="F22" s="42"/>
      <c r="G22" s="32"/>
    </row>
    <row r="23" spans="1:7" ht="12" customHeight="1">
      <c r="A23" s="117" t="s">
        <v>68</v>
      </c>
      <c r="B23" s="75" t="s">
        <v>282</v>
      </c>
      <c r="C23" s="42"/>
      <c r="D23" s="32"/>
      <c r="E23" s="84" t="s">
        <v>272</v>
      </c>
      <c r="F23" s="42"/>
      <c r="G23" s="32"/>
    </row>
    <row r="24" spans="1:7" ht="12" customHeight="1">
      <c r="A24" s="117" t="s">
        <v>69</v>
      </c>
      <c r="B24" s="78" t="s">
        <v>218</v>
      </c>
      <c r="C24" s="42"/>
      <c r="D24" s="32"/>
      <c r="E24" s="83" t="s">
        <v>257</v>
      </c>
      <c r="F24" s="42"/>
      <c r="G24" s="32"/>
    </row>
    <row r="25" spans="1:7" ht="12" customHeight="1">
      <c r="A25" s="117" t="s">
        <v>70</v>
      </c>
      <c r="B25" s="75" t="s">
        <v>283</v>
      </c>
      <c r="C25" s="42"/>
      <c r="D25" s="32"/>
      <c r="E25" s="83" t="s">
        <v>231</v>
      </c>
      <c r="F25" s="198"/>
      <c r="G25" s="33"/>
    </row>
    <row r="26" spans="1:7" ht="12" customHeight="1">
      <c r="A26" s="117" t="s">
        <v>107</v>
      </c>
      <c r="B26" s="74" t="s">
        <v>253</v>
      </c>
      <c r="C26" s="198"/>
      <c r="D26" s="33"/>
      <c r="E26" s="83"/>
      <c r="F26" s="198"/>
      <c r="G26" s="33"/>
    </row>
    <row r="27" spans="1:7" ht="12" customHeight="1">
      <c r="A27" s="117" t="s">
        <v>108</v>
      </c>
      <c r="B27" s="76" t="s">
        <v>239</v>
      </c>
      <c r="C27" s="42"/>
      <c r="D27" s="32"/>
      <c r="E27" s="85"/>
      <c r="F27" s="42"/>
      <c r="G27" s="32"/>
    </row>
    <row r="28" spans="1:7" ht="12" customHeight="1" thickBot="1">
      <c r="A28" s="117" t="s">
        <v>109</v>
      </c>
      <c r="B28" s="76"/>
      <c r="C28" s="209"/>
      <c r="D28" s="80"/>
      <c r="E28" s="85"/>
      <c r="F28" s="199"/>
      <c r="G28" s="72"/>
    </row>
    <row r="29" spans="1:7" ht="22.5" customHeight="1" thickBot="1">
      <c r="A29" s="117" t="s">
        <v>110</v>
      </c>
      <c r="B29" s="77" t="s">
        <v>219</v>
      </c>
      <c r="C29" s="215">
        <f>SUM(C20:C28)</f>
        <v>598457</v>
      </c>
      <c r="D29" s="123">
        <f>SUM(D20:D28)</f>
        <v>597945</v>
      </c>
      <c r="E29" s="86" t="s">
        <v>232</v>
      </c>
      <c r="F29" s="215">
        <f>SUM(F18:F28)</f>
        <v>336728</v>
      </c>
      <c r="G29" s="123">
        <f>SUM(G18:G28)</f>
        <v>336728</v>
      </c>
    </row>
    <row r="30" spans="1:7" s="4" customFormat="1" ht="22.5" customHeight="1" thickBot="1">
      <c r="A30" s="117" t="s">
        <v>111</v>
      </c>
      <c r="B30" s="225" t="s">
        <v>220</v>
      </c>
      <c r="C30" s="226">
        <f>SUM(C17+C18+C19+C29)</f>
        <v>7901204</v>
      </c>
      <c r="D30" s="228">
        <f>SUM(D17+D18+D19+D29)</f>
        <v>8160335</v>
      </c>
      <c r="E30" s="227" t="s">
        <v>233</v>
      </c>
      <c r="F30" s="226">
        <f>SUM(F17+F29)</f>
        <v>7901204</v>
      </c>
      <c r="G30" s="228">
        <f>SUM(G17+G29)</f>
        <v>8160335</v>
      </c>
    </row>
    <row r="31" spans="1:7" ht="16.5" customHeight="1" thickBot="1">
      <c r="A31" s="118" t="s">
        <v>112</v>
      </c>
      <c r="B31" s="79" t="s">
        <v>221</v>
      </c>
      <c r="C31" s="215">
        <f>SUM(F17-C17)</f>
        <v>277617</v>
      </c>
      <c r="D31" s="123">
        <f>SUM(G17-D17)</f>
        <v>452379</v>
      </c>
      <c r="E31" s="89" t="s">
        <v>234</v>
      </c>
      <c r="F31" s="215"/>
      <c r="G31" s="123"/>
    </row>
    <row r="32" spans="1:6" ht="12.75" customHeight="1">
      <c r="A32" s="90"/>
      <c r="B32" s="91"/>
      <c r="C32" s="94"/>
      <c r="D32" s="94"/>
      <c r="E32" s="93"/>
      <c r="F32" s="94"/>
    </row>
    <row r="33" spans="1:6" ht="12.75" customHeight="1">
      <c r="A33" s="90"/>
      <c r="B33" s="91"/>
      <c r="C33" s="94"/>
      <c r="D33" s="94"/>
      <c r="E33" s="93"/>
      <c r="F33" s="94"/>
    </row>
    <row r="34" spans="1:6" ht="12.75" customHeight="1">
      <c r="A34" s="90"/>
      <c r="B34" s="91"/>
      <c r="C34" s="94"/>
      <c r="D34" s="94"/>
      <c r="E34" s="93"/>
      <c r="F34" s="94"/>
    </row>
    <row r="35" spans="1:6" ht="12.75" customHeight="1">
      <c r="A35" s="90"/>
      <c r="B35" s="91"/>
      <c r="C35" s="94"/>
      <c r="D35" s="94"/>
      <c r="E35" s="93"/>
      <c r="F35" s="94"/>
    </row>
    <row r="36" spans="1:6" ht="12.75" customHeight="1">
      <c r="A36" s="90"/>
      <c r="B36" s="91"/>
      <c r="C36" s="94"/>
      <c r="D36" s="94"/>
      <c r="E36" s="93"/>
      <c r="F36" s="94"/>
    </row>
    <row r="37" spans="1:6" ht="12.75" customHeight="1">
      <c r="A37" s="90"/>
      <c r="B37" s="91"/>
      <c r="C37" s="94"/>
      <c r="D37" s="94"/>
      <c r="E37" s="93"/>
      <c r="F37" s="94"/>
    </row>
    <row r="38" spans="1:6" ht="12.75" customHeight="1">
      <c r="A38" s="90"/>
      <c r="B38" s="91"/>
      <c r="C38" s="94"/>
      <c r="D38" s="94"/>
      <c r="E38" s="93"/>
      <c r="F38" s="94"/>
    </row>
    <row r="39" spans="1:6" ht="12.75" customHeight="1">
      <c r="A39" s="90"/>
      <c r="B39" s="91"/>
      <c r="C39" s="94"/>
      <c r="D39" s="94"/>
      <c r="E39" s="93"/>
      <c r="F39" s="94"/>
    </row>
    <row r="40" spans="1:6" ht="12.75" customHeight="1">
      <c r="A40" s="90"/>
      <c r="B40" s="91"/>
      <c r="C40" s="94"/>
      <c r="D40" s="94"/>
      <c r="E40" s="93"/>
      <c r="F40" s="94"/>
    </row>
    <row r="41" spans="1:6" ht="12" customHeight="1">
      <c r="A41" s="90"/>
      <c r="B41" s="91"/>
      <c r="C41" s="94"/>
      <c r="D41" s="94"/>
      <c r="E41" s="93"/>
      <c r="F41" s="94"/>
    </row>
    <row r="42" spans="1:6" ht="12" customHeight="1">
      <c r="A42" s="90"/>
      <c r="B42" s="91"/>
      <c r="C42" s="94"/>
      <c r="D42" s="94"/>
      <c r="E42" s="93"/>
      <c r="F42" s="94"/>
    </row>
    <row r="43" spans="1:6" ht="12" customHeight="1">
      <c r="A43" s="90"/>
      <c r="B43" s="91"/>
      <c r="C43" s="94"/>
      <c r="D43" s="94"/>
      <c r="E43" s="93"/>
      <c r="F43" s="94"/>
    </row>
    <row r="44" spans="1:6" ht="12" customHeight="1">
      <c r="A44" s="90"/>
      <c r="B44" s="91"/>
      <c r="C44" s="92"/>
      <c r="D44" s="92"/>
      <c r="E44" s="93"/>
      <c r="F44" s="94"/>
    </row>
    <row r="45" spans="1:6" ht="12" customHeight="1">
      <c r="A45" s="90"/>
      <c r="B45" s="91"/>
      <c r="C45" s="92"/>
      <c r="D45" s="92"/>
      <c r="E45" s="93"/>
      <c r="F45" s="94"/>
    </row>
  </sheetData>
  <mergeCells count="1">
    <mergeCell ref="E2:F2"/>
  </mergeCells>
  <printOptions horizontalCentered="1" verticalCentered="1"/>
  <pageMargins left="0.3937007874015748" right="0.3937007874015748" top="0.7874015748031497" bottom="0.4724409448818898" header="0.5905511811023623" footer="0.07874015748031496"/>
  <pageSetup horizontalDpi="600" verticalDpi="600" orientation="landscape" scale="95" r:id="rId1"/>
  <headerFooter alignWithMargins="0">
    <oddHeader>&amp;L&amp;8  2. melléklet a …/…..(….) önkormányzati rendelethez&amp;C&amp;"Arial CE,Félkövér"&amp;11
Működési célú  bevételek és kiadások mérlege&amp;R&amp;9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D16" sqref="D16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3" width="9.375" style="0" customWidth="1"/>
    <col min="4" max="4" width="10.75390625" style="0" customWidth="1"/>
    <col min="5" max="5" width="33.25390625" style="0" customWidth="1"/>
    <col min="6" max="6" width="9.25390625" style="0" customWidth="1"/>
    <col min="7" max="7" width="10.375" style="0" customWidth="1"/>
  </cols>
  <sheetData>
    <row r="1" spans="5:6" ht="13.5" thickBot="1">
      <c r="E1" s="328" t="s">
        <v>82</v>
      </c>
      <c r="F1" s="328"/>
    </row>
    <row r="2" spans="1:7" ht="13.5" thickBot="1">
      <c r="A2" s="68"/>
      <c r="B2" s="236" t="s">
        <v>99</v>
      </c>
      <c r="C2" s="237" t="s">
        <v>100</v>
      </c>
      <c r="D2" s="238" t="s">
        <v>101</v>
      </c>
      <c r="E2" s="233" t="s">
        <v>102</v>
      </c>
      <c r="F2" s="95" t="s">
        <v>103</v>
      </c>
      <c r="G2" s="234" t="s">
        <v>104</v>
      </c>
    </row>
    <row r="3" spans="1:7" ht="23.25" thickBot="1">
      <c r="A3" s="113"/>
      <c r="B3" s="114" t="s">
        <v>17</v>
      </c>
      <c r="C3" s="207" t="s">
        <v>307</v>
      </c>
      <c r="D3" s="213" t="s">
        <v>381</v>
      </c>
      <c r="E3" s="109" t="s">
        <v>18</v>
      </c>
      <c r="F3" s="207" t="s">
        <v>306</v>
      </c>
      <c r="G3" s="213" t="s">
        <v>381</v>
      </c>
    </row>
    <row r="4" spans="1:7" ht="12.75" customHeight="1">
      <c r="A4" s="69" t="s">
        <v>0</v>
      </c>
      <c r="B4" s="83" t="s">
        <v>258</v>
      </c>
      <c r="C4" s="214">
        <v>145051</v>
      </c>
      <c r="D4" s="81">
        <v>145051</v>
      </c>
      <c r="E4" s="84" t="s">
        <v>241</v>
      </c>
      <c r="F4" s="42">
        <f>'[1]1.sz.mérleg ÚJ (2)'!C84</f>
        <v>927610</v>
      </c>
      <c r="G4" s="32">
        <f>'1.sz.mérleg ÚJ (2)'!D84</f>
        <v>927610</v>
      </c>
    </row>
    <row r="5" spans="1:7" ht="12.75" customHeight="1">
      <c r="A5" s="69" t="s">
        <v>2</v>
      </c>
      <c r="B5" s="84" t="s">
        <v>259</v>
      </c>
      <c r="C5" s="42">
        <v>9060</v>
      </c>
      <c r="D5" s="32">
        <v>9060</v>
      </c>
      <c r="E5" s="83" t="s">
        <v>240</v>
      </c>
      <c r="F5" s="214">
        <f>'[1]1.sz.mérleg ÚJ (2)'!C85</f>
        <v>411364</v>
      </c>
      <c r="G5" s="81">
        <f>'1.sz.mérleg ÚJ (2)'!D85</f>
        <v>411364</v>
      </c>
    </row>
    <row r="6" spans="1:7" ht="12.75">
      <c r="A6" s="69" t="s">
        <v>3</v>
      </c>
      <c r="B6" s="84" t="s">
        <v>235</v>
      </c>
      <c r="C6" s="42"/>
      <c r="D6" s="32"/>
      <c r="E6" s="84" t="s">
        <v>242</v>
      </c>
      <c r="F6" s="42"/>
      <c r="G6" s="32"/>
    </row>
    <row r="7" spans="1:7" ht="12.75">
      <c r="A7" s="69" t="s">
        <v>4</v>
      </c>
      <c r="B7" s="43" t="s">
        <v>294</v>
      </c>
      <c r="C7" s="42">
        <v>70000</v>
      </c>
      <c r="D7" s="32">
        <v>70000</v>
      </c>
      <c r="E7" s="84" t="s">
        <v>269</v>
      </c>
      <c r="F7" s="42"/>
      <c r="G7" s="32"/>
    </row>
    <row r="8" spans="1:7" ht="12.75">
      <c r="A8" s="69" t="s">
        <v>5</v>
      </c>
      <c r="B8" s="84" t="s">
        <v>293</v>
      </c>
      <c r="C8" s="42"/>
      <c r="D8" s="32"/>
      <c r="E8" s="84" t="s">
        <v>243</v>
      </c>
      <c r="F8" s="42"/>
      <c r="G8" s="32"/>
    </row>
    <row r="9" spans="1:7" ht="12.75">
      <c r="A9" s="69" t="s">
        <v>7</v>
      </c>
      <c r="B9" s="84" t="s">
        <v>236</v>
      </c>
      <c r="C9" s="42"/>
      <c r="D9" s="32"/>
      <c r="E9" s="84" t="s">
        <v>59</v>
      </c>
      <c r="F9" s="42">
        <f>'[1]1.sz.mérleg ÚJ (2)'!C96</f>
        <v>734236</v>
      </c>
      <c r="G9" s="32">
        <f>'1.sz.mérleg ÚJ (2)'!D96</f>
        <v>1023901</v>
      </c>
    </row>
    <row r="10" spans="1:7" ht="12.75" customHeight="1">
      <c r="A10" s="69" t="s">
        <v>9</v>
      </c>
      <c r="B10" s="84" t="s">
        <v>260</v>
      </c>
      <c r="C10" s="42"/>
      <c r="D10" s="32"/>
      <c r="E10" s="84" t="s">
        <v>53</v>
      </c>
      <c r="F10" s="42">
        <v>5000</v>
      </c>
      <c r="G10" s="32">
        <v>5000</v>
      </c>
    </row>
    <row r="11" spans="1:7" ht="12.75" customHeight="1">
      <c r="A11" s="69" t="s">
        <v>14</v>
      </c>
      <c r="B11" s="84" t="s">
        <v>237</v>
      </c>
      <c r="C11" s="42">
        <v>100457</v>
      </c>
      <c r="D11" s="32">
        <v>100457</v>
      </c>
      <c r="E11" s="84" t="s">
        <v>244</v>
      </c>
      <c r="F11" s="42"/>
      <c r="G11" s="32"/>
    </row>
    <row r="12" spans="1:7" ht="12.75">
      <c r="A12" s="69" t="s">
        <v>10</v>
      </c>
      <c r="B12" s="84" t="s">
        <v>261</v>
      </c>
      <c r="C12" s="42">
        <v>915719</v>
      </c>
      <c r="D12" s="32">
        <v>915719</v>
      </c>
      <c r="E12" s="84" t="s">
        <v>79</v>
      </c>
      <c r="F12" s="42">
        <v>70000</v>
      </c>
      <c r="G12" s="32">
        <v>70000</v>
      </c>
    </row>
    <row r="13" spans="1:7" ht="12.75" customHeight="1">
      <c r="A13" s="69" t="s">
        <v>11</v>
      </c>
      <c r="B13" s="84" t="s">
        <v>50</v>
      </c>
      <c r="C13" s="42">
        <v>11000</v>
      </c>
      <c r="D13" s="32">
        <v>11000</v>
      </c>
      <c r="E13" s="84" t="s">
        <v>245</v>
      </c>
      <c r="F13" s="42"/>
      <c r="G13" s="32"/>
    </row>
    <row r="14" spans="1:7" ht="12.75" customHeight="1" thickBot="1">
      <c r="A14" s="69" t="s">
        <v>15</v>
      </c>
      <c r="B14" s="88" t="s">
        <v>297</v>
      </c>
      <c r="C14" s="211">
        <v>38474</v>
      </c>
      <c r="D14" s="73">
        <v>38474</v>
      </c>
      <c r="E14" s="88"/>
      <c r="F14" s="211"/>
      <c r="G14" s="73"/>
    </row>
    <row r="15" spans="1:7" ht="22.5" customHeight="1" thickBot="1">
      <c r="A15" s="69" t="s">
        <v>60</v>
      </c>
      <c r="B15" s="86" t="s">
        <v>214</v>
      </c>
      <c r="C15" s="215">
        <f>SUM(C4:C14)</f>
        <v>1289761</v>
      </c>
      <c r="D15" s="123">
        <f>SUM(D4:D14)</f>
        <v>1289761</v>
      </c>
      <c r="E15" s="86" t="s">
        <v>226</v>
      </c>
      <c r="F15" s="215">
        <f>SUM(F4:F13)</f>
        <v>2148210</v>
      </c>
      <c r="G15" s="123">
        <f>SUM(G4:G13)</f>
        <v>2437875</v>
      </c>
    </row>
    <row r="16" spans="1:7" ht="12.75">
      <c r="A16" s="69" t="s">
        <v>61</v>
      </c>
      <c r="B16" s="87" t="s">
        <v>238</v>
      </c>
      <c r="C16" s="202">
        <v>1000000</v>
      </c>
      <c r="D16" s="31">
        <f>'1.sz.mérleg ÚJ (2)'!D45</f>
        <v>1289665</v>
      </c>
      <c r="E16" s="83" t="s">
        <v>227</v>
      </c>
      <c r="F16" s="214"/>
      <c r="G16" s="81"/>
    </row>
    <row r="17" spans="1:7" ht="12.75">
      <c r="A17" s="69" t="s">
        <v>62</v>
      </c>
      <c r="B17" s="84" t="s">
        <v>215</v>
      </c>
      <c r="C17" s="216"/>
      <c r="D17" s="34"/>
      <c r="E17" s="84" t="s">
        <v>228</v>
      </c>
      <c r="F17" s="42"/>
      <c r="G17" s="32"/>
    </row>
    <row r="18" spans="1:7" ht="12.75">
      <c r="A18" s="69" t="s">
        <v>63</v>
      </c>
      <c r="B18" s="84" t="s">
        <v>216</v>
      </c>
      <c r="C18" s="42"/>
      <c r="D18" s="32"/>
      <c r="E18" s="84" t="s">
        <v>229</v>
      </c>
      <c r="F18" s="42">
        <v>91771</v>
      </c>
      <c r="G18" s="32">
        <v>91771</v>
      </c>
    </row>
    <row r="19" spans="1:7" ht="12.75" customHeight="1">
      <c r="A19" s="69" t="s">
        <v>64</v>
      </c>
      <c r="B19" s="84" t="s">
        <v>217</v>
      </c>
      <c r="C19" s="42"/>
      <c r="D19" s="32"/>
      <c r="E19" s="84" t="s">
        <v>326</v>
      </c>
      <c r="F19" s="42">
        <v>49780</v>
      </c>
      <c r="G19" s="32">
        <v>49780</v>
      </c>
    </row>
    <row r="20" spans="1:7" ht="12.75" customHeight="1">
      <c r="A20" s="69" t="s">
        <v>65</v>
      </c>
      <c r="B20" s="84" t="s">
        <v>284</v>
      </c>
      <c r="C20" s="42"/>
      <c r="D20" s="32"/>
      <c r="E20" s="84" t="s">
        <v>271</v>
      </c>
      <c r="F20" s="42"/>
      <c r="G20" s="32"/>
    </row>
    <row r="21" spans="1:7" ht="12.75" customHeight="1">
      <c r="A21" s="69" t="s">
        <v>66</v>
      </c>
      <c r="B21" s="88" t="s">
        <v>218</v>
      </c>
      <c r="C21" s="42"/>
      <c r="D21" s="32"/>
      <c r="E21" s="88" t="s">
        <v>230</v>
      </c>
      <c r="F21" s="42"/>
      <c r="G21" s="32"/>
    </row>
    <row r="22" spans="1:7" ht="12.75" customHeight="1">
      <c r="A22" s="69" t="s">
        <v>68</v>
      </c>
      <c r="B22" s="84" t="s">
        <v>283</v>
      </c>
      <c r="C22" s="42"/>
      <c r="D22" s="32"/>
      <c r="E22" s="84" t="s">
        <v>272</v>
      </c>
      <c r="F22" s="42"/>
      <c r="G22" s="32"/>
    </row>
    <row r="23" spans="1:7" ht="12.75" customHeight="1">
      <c r="A23" s="69" t="s">
        <v>69</v>
      </c>
      <c r="B23" s="83" t="s">
        <v>253</v>
      </c>
      <c r="C23" s="42"/>
      <c r="D23" s="32"/>
      <c r="E23" s="83" t="s">
        <v>257</v>
      </c>
      <c r="F23" s="42"/>
      <c r="G23" s="32"/>
    </row>
    <row r="24" spans="1:7" ht="12.75">
      <c r="A24" s="69" t="s">
        <v>70</v>
      </c>
      <c r="B24" s="85" t="s">
        <v>239</v>
      </c>
      <c r="C24" s="42"/>
      <c r="D24" s="32"/>
      <c r="E24" s="83" t="s">
        <v>231</v>
      </c>
      <c r="F24" s="42"/>
      <c r="G24" s="32"/>
    </row>
    <row r="25" spans="1:7" ht="12.75" customHeight="1" thickBot="1">
      <c r="A25" s="69" t="s">
        <v>107</v>
      </c>
      <c r="B25" s="85"/>
      <c r="C25" s="209"/>
      <c r="D25" s="80"/>
      <c r="E25" s="85"/>
      <c r="F25" s="209"/>
      <c r="G25" s="80"/>
    </row>
    <row r="26" spans="1:7" ht="22.5" customHeight="1" thickBot="1">
      <c r="A26" s="69" t="s">
        <v>108</v>
      </c>
      <c r="B26" s="86" t="s">
        <v>295</v>
      </c>
      <c r="C26" s="215">
        <f>SUM(C17:C25)</f>
        <v>0</v>
      </c>
      <c r="D26" s="123">
        <f>SUM(D17:D25)</f>
        <v>0</v>
      </c>
      <c r="E26" s="86" t="s">
        <v>304</v>
      </c>
      <c r="F26" s="215">
        <f>SUM(F16:F25)</f>
        <v>141551</v>
      </c>
      <c r="G26" s="123">
        <f>SUM(G16:G25)</f>
        <v>141551</v>
      </c>
    </row>
    <row r="27" spans="1:7" ht="22.5" customHeight="1" thickBot="1">
      <c r="A27" s="69" t="s">
        <v>109</v>
      </c>
      <c r="B27" s="112" t="s">
        <v>296</v>
      </c>
      <c r="C27" s="217">
        <f>SUM(C26+C16+C15)</f>
        <v>2289761</v>
      </c>
      <c r="D27" s="124">
        <f>SUM(D26+D16+D15)</f>
        <v>2579426</v>
      </c>
      <c r="E27" s="112" t="s">
        <v>303</v>
      </c>
      <c r="F27" s="217">
        <f>SUM(F26,F15)</f>
        <v>2289761</v>
      </c>
      <c r="G27" s="124">
        <f>SUM(G26,G15)</f>
        <v>2579426</v>
      </c>
    </row>
    <row r="28" spans="1:7" ht="16.5" customHeight="1" thickBot="1">
      <c r="A28" s="70" t="s">
        <v>110</v>
      </c>
      <c r="B28" s="89" t="s">
        <v>221</v>
      </c>
      <c r="C28" s="215">
        <f>SUM(F15-C15)</f>
        <v>858449</v>
      </c>
      <c r="D28" s="123">
        <f>SUM(G15-D15)</f>
        <v>1148114</v>
      </c>
      <c r="E28" s="89" t="s">
        <v>234</v>
      </c>
      <c r="F28" s="215"/>
      <c r="G28" s="123"/>
    </row>
    <row r="29" spans="2:6" ht="12.75">
      <c r="B29" s="91"/>
      <c r="C29" s="92"/>
      <c r="D29" s="92"/>
      <c r="E29" s="91"/>
      <c r="F29" s="94"/>
    </row>
    <row r="30" spans="2:6" ht="12.75">
      <c r="B30" s="91"/>
      <c r="C30" s="92"/>
      <c r="D30" s="92"/>
      <c r="F30" s="94"/>
    </row>
    <row r="31" spans="2:6" ht="12.75">
      <c r="B31" s="91"/>
      <c r="C31" s="92"/>
      <c r="D31" s="92"/>
      <c r="E31" s="91"/>
      <c r="F31" s="94"/>
    </row>
    <row r="32" spans="2:4" ht="12.75">
      <c r="B32" s="91"/>
      <c r="C32" s="92"/>
      <c r="D32" s="92"/>
    </row>
    <row r="33" spans="2:6" ht="12.75">
      <c r="B33" s="91"/>
      <c r="C33" s="92"/>
      <c r="D33" s="92"/>
      <c r="E33" s="91"/>
      <c r="F33" s="94"/>
    </row>
    <row r="34" spans="2:6" ht="12.75">
      <c r="B34" s="91"/>
      <c r="C34" s="92"/>
      <c r="D34" s="92"/>
      <c r="E34" s="91"/>
      <c r="F34" s="94"/>
    </row>
    <row r="35" spans="2:6" ht="12.75">
      <c r="B35" s="91"/>
      <c r="C35" s="92"/>
      <c r="D35" s="92"/>
      <c r="E35" s="91"/>
      <c r="F35" s="94"/>
    </row>
    <row r="36" spans="2:6" ht="12.75">
      <c r="B36" s="91"/>
      <c r="C36" s="92"/>
      <c r="D36" s="92"/>
      <c r="E36" s="91"/>
      <c r="F36" s="94"/>
    </row>
    <row r="37" spans="2:6" ht="12.75">
      <c r="B37" s="91"/>
      <c r="C37" s="92"/>
      <c r="D37" s="92"/>
      <c r="E37" s="91"/>
      <c r="F37" s="94"/>
    </row>
    <row r="38" spans="2:6" ht="12.75">
      <c r="B38" s="91"/>
      <c r="C38" s="92"/>
      <c r="D38" s="92"/>
      <c r="E38" s="91"/>
      <c r="F38" s="94"/>
    </row>
    <row r="39" spans="2:6" ht="12.75">
      <c r="B39" s="91"/>
      <c r="C39" s="92"/>
      <c r="D39" s="92"/>
      <c r="E39" s="91"/>
      <c r="F39" s="94"/>
    </row>
  </sheetData>
  <mergeCells count="1">
    <mergeCell ref="E1:F1"/>
  </mergeCells>
  <printOptions horizontalCentered="1" verticalCentered="1"/>
  <pageMargins left="0.7874015748031497" right="0.7874015748031497" top="0.7874015748031497" bottom="0.1968503937007874" header="0.3937007874015748" footer="0.31496062992125984"/>
  <pageSetup horizontalDpi="300" verticalDpi="300" orientation="landscape" paperSize="9" r:id="rId1"/>
  <headerFooter alignWithMargins="0">
    <oddHeader>&amp;L&amp;8  3. melléklet a …/…..(….) önkormányzati rendelethez&amp;C&amp;"Arial CE,Félkövér"&amp;12
&amp;11Felhalmozási célú bevételek és kiadások mérlege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F22">
      <selection activeCell="R31" sqref="R31"/>
    </sheetView>
  </sheetViews>
  <sheetFormatPr defaultColWidth="9.00390625" defaultRowHeight="12.75"/>
  <cols>
    <col min="1" max="1" width="3.625" style="5" bestFit="1" customWidth="1"/>
    <col min="2" max="2" width="19.125" style="5" customWidth="1"/>
    <col min="3" max="3" width="9.875" style="5" customWidth="1"/>
    <col min="4" max="4" width="10.25390625" style="5" customWidth="1"/>
    <col min="5" max="5" width="9.75390625" style="5" customWidth="1"/>
    <col min="6" max="6" width="10.75390625" style="5" customWidth="1"/>
    <col min="7" max="7" width="10.00390625" style="5" customWidth="1"/>
    <col min="8" max="8" width="10.375" style="5" customWidth="1"/>
    <col min="9" max="9" width="10.125" style="5" customWidth="1"/>
    <col min="10" max="10" width="8.375" style="5" customWidth="1"/>
    <col min="11" max="11" width="11.25390625" style="5" customWidth="1"/>
    <col min="12" max="12" width="10.25390625" style="5" customWidth="1"/>
    <col min="13" max="13" width="10.00390625" style="5" customWidth="1"/>
    <col min="14" max="14" width="10.125" style="5" customWidth="1"/>
    <col min="15" max="15" width="9.75390625" style="5" customWidth="1"/>
    <col min="16" max="16" width="9.875" style="5" customWidth="1"/>
    <col min="17" max="17" width="8.125" style="5" customWidth="1"/>
    <col min="18" max="18" width="11.125" style="5" customWidth="1"/>
    <col min="19" max="16384" width="9.125" style="5" customWidth="1"/>
  </cols>
  <sheetData>
    <row r="1" spans="16:18" ht="12.75" customHeight="1">
      <c r="P1" s="331"/>
      <c r="Q1" s="331"/>
      <c r="R1" s="331"/>
    </row>
    <row r="4" spans="16:18" ht="12.75" customHeight="1">
      <c r="P4" s="329" t="s">
        <v>201</v>
      </c>
      <c r="Q4" s="330"/>
      <c r="R4" s="330"/>
    </row>
    <row r="5" ht="13.5" thickBot="1"/>
    <row r="6" spans="1:18" ht="13.5" thickBot="1">
      <c r="A6" s="54"/>
      <c r="B6" s="52" t="s">
        <v>99</v>
      </c>
      <c r="C6" s="47" t="s">
        <v>100</v>
      </c>
      <c r="D6" s="47" t="s">
        <v>101</v>
      </c>
      <c r="E6" s="47" t="s">
        <v>102</v>
      </c>
      <c r="F6" s="47" t="s">
        <v>103</v>
      </c>
      <c r="G6" s="47" t="s">
        <v>104</v>
      </c>
      <c r="H6" s="47" t="s">
        <v>105</v>
      </c>
      <c r="I6" s="47" t="s">
        <v>106</v>
      </c>
      <c r="J6" s="47" t="s">
        <v>130</v>
      </c>
      <c r="K6" s="47" t="s">
        <v>131</v>
      </c>
      <c r="L6" s="47" t="s">
        <v>132</v>
      </c>
      <c r="M6" s="47" t="s">
        <v>133</v>
      </c>
      <c r="N6" s="47" t="s">
        <v>134</v>
      </c>
      <c r="O6" s="47" t="s">
        <v>135</v>
      </c>
      <c r="P6" s="47" t="s">
        <v>136</v>
      </c>
      <c r="Q6" s="48" t="s">
        <v>137</v>
      </c>
      <c r="R6" s="49" t="s">
        <v>138</v>
      </c>
    </row>
    <row r="7" spans="1:18" ht="18" customHeight="1" thickBot="1">
      <c r="A7" s="55"/>
      <c r="B7" s="53"/>
      <c r="C7" s="45" t="s">
        <v>35</v>
      </c>
      <c r="D7" s="45"/>
      <c r="E7" s="45"/>
      <c r="F7" s="45"/>
      <c r="G7" s="45"/>
      <c r="H7" s="45"/>
      <c r="I7" s="45"/>
      <c r="J7" s="45"/>
      <c r="K7" s="45"/>
      <c r="L7" s="45" t="s">
        <v>36</v>
      </c>
      <c r="M7" s="45"/>
      <c r="N7" s="45"/>
      <c r="O7" s="45"/>
      <c r="P7" s="45"/>
      <c r="Q7" s="45"/>
      <c r="R7" s="46"/>
    </row>
    <row r="8" spans="1:18" ht="62.25" customHeight="1" thickBot="1">
      <c r="A8" s="55"/>
      <c r="B8" s="256" t="s">
        <v>93</v>
      </c>
      <c r="C8" s="257" t="s">
        <v>37</v>
      </c>
      <c r="D8" s="258" t="s">
        <v>38</v>
      </c>
      <c r="E8" s="259" t="s">
        <v>96</v>
      </c>
      <c r="F8" s="259" t="s">
        <v>97</v>
      </c>
      <c r="G8" s="259" t="s">
        <v>94</v>
      </c>
      <c r="H8" s="259" t="s">
        <v>95</v>
      </c>
      <c r="I8" s="260" t="s">
        <v>89</v>
      </c>
      <c r="J8" s="261" t="s">
        <v>39</v>
      </c>
      <c r="K8" s="256" t="s">
        <v>43</v>
      </c>
      <c r="L8" s="257" t="s">
        <v>40</v>
      </c>
      <c r="M8" s="258" t="s">
        <v>41</v>
      </c>
      <c r="N8" s="259" t="s">
        <v>88</v>
      </c>
      <c r="O8" s="260" t="s">
        <v>87</v>
      </c>
      <c r="P8" s="260" t="s">
        <v>89</v>
      </c>
      <c r="Q8" s="261" t="s">
        <v>39</v>
      </c>
      <c r="R8" s="256" t="s">
        <v>43</v>
      </c>
    </row>
    <row r="9" spans="1:19" ht="23.25" customHeight="1">
      <c r="A9" s="56" t="s">
        <v>0</v>
      </c>
      <c r="B9" s="262" t="s">
        <v>1</v>
      </c>
      <c r="C9" s="16">
        <f>34453+2000</f>
        <v>36453</v>
      </c>
      <c r="D9" s="17">
        <v>173464</v>
      </c>
      <c r="E9" s="17">
        <v>15316</v>
      </c>
      <c r="F9" s="17">
        <f>126243-2000</f>
        <v>124243</v>
      </c>
      <c r="G9" s="17"/>
      <c r="H9" s="17">
        <v>3500</v>
      </c>
      <c r="I9" s="17"/>
      <c r="J9" s="18"/>
      <c r="K9" s="10">
        <f aca="true" t="shared" si="0" ref="K9:K14">SUM(C9:J9)</f>
        <v>352976</v>
      </c>
      <c r="L9" s="16">
        <v>192107</v>
      </c>
      <c r="M9" s="17">
        <v>52087</v>
      </c>
      <c r="N9" s="17">
        <v>103586</v>
      </c>
      <c r="O9" s="18">
        <v>5196</v>
      </c>
      <c r="P9" s="18"/>
      <c r="Q9" s="18"/>
      <c r="R9" s="10">
        <f aca="true" t="shared" si="1" ref="R9:R14">SUM(L9:Q9)</f>
        <v>352976</v>
      </c>
      <c r="S9" s="11"/>
    </row>
    <row r="10" spans="1:19" s="129" customFormat="1" ht="23.25" customHeight="1">
      <c r="A10" s="56" t="s">
        <v>2</v>
      </c>
      <c r="B10" s="50" t="s">
        <v>203</v>
      </c>
      <c r="C10" s="125">
        <f>38000+2000</f>
        <v>40000</v>
      </c>
      <c r="D10" s="126">
        <v>355237</v>
      </c>
      <c r="E10" s="126"/>
      <c r="F10" s="126">
        <f>106025-2000</f>
        <v>104025</v>
      </c>
      <c r="G10" s="126">
        <v>14724</v>
      </c>
      <c r="H10" s="126">
        <v>2910</v>
      </c>
      <c r="I10" s="126"/>
      <c r="J10" s="127"/>
      <c r="K10" s="9">
        <f t="shared" si="0"/>
        <v>516896</v>
      </c>
      <c r="L10" s="125">
        <f>295216+2520</f>
        <v>297736</v>
      </c>
      <c r="M10" s="126">
        <f>78453+680</f>
        <v>79133</v>
      </c>
      <c r="N10" s="126">
        <f>132944-3200</f>
        <v>129744</v>
      </c>
      <c r="O10" s="127">
        <f>7373+2910</f>
        <v>10283</v>
      </c>
      <c r="P10" s="127"/>
      <c r="Q10" s="127"/>
      <c r="R10" s="10">
        <f t="shared" si="1"/>
        <v>516896</v>
      </c>
      <c r="S10" s="128"/>
    </row>
    <row r="11" spans="1:19" ht="23.25" customHeight="1">
      <c r="A11" s="56" t="s">
        <v>3</v>
      </c>
      <c r="B11" s="50" t="s">
        <v>204</v>
      </c>
      <c r="C11" s="6">
        <v>7883</v>
      </c>
      <c r="D11" s="7">
        <v>312033</v>
      </c>
      <c r="E11" s="7"/>
      <c r="F11" s="7">
        <v>77956</v>
      </c>
      <c r="G11" s="7">
        <v>8896</v>
      </c>
      <c r="H11" s="7"/>
      <c r="I11" s="7"/>
      <c r="J11" s="8"/>
      <c r="K11" s="9">
        <f t="shared" si="0"/>
        <v>406768</v>
      </c>
      <c r="L11" s="6">
        <v>252000</v>
      </c>
      <c r="M11" s="7">
        <v>68112</v>
      </c>
      <c r="N11" s="7">
        <f>68820+8896</f>
        <v>77716</v>
      </c>
      <c r="O11" s="8">
        <v>8940</v>
      </c>
      <c r="P11" s="8"/>
      <c r="Q11" s="8"/>
      <c r="R11" s="10">
        <f t="shared" si="1"/>
        <v>406768</v>
      </c>
      <c r="S11" s="11"/>
    </row>
    <row r="12" spans="1:19" ht="23.25" customHeight="1">
      <c r="A12" s="56" t="s">
        <v>4</v>
      </c>
      <c r="B12" s="51" t="s">
        <v>6</v>
      </c>
      <c r="C12" s="6">
        <v>2000</v>
      </c>
      <c r="D12" s="7"/>
      <c r="E12" s="7"/>
      <c r="F12" s="7">
        <v>39760</v>
      </c>
      <c r="G12" s="7">
        <v>2266</v>
      </c>
      <c r="H12" s="7">
        <v>13143</v>
      </c>
      <c r="I12" s="7">
        <v>457</v>
      </c>
      <c r="J12" s="8"/>
      <c r="K12" s="9">
        <f t="shared" si="0"/>
        <v>57626</v>
      </c>
      <c r="L12" s="6">
        <v>32175</v>
      </c>
      <c r="M12" s="7">
        <v>8640</v>
      </c>
      <c r="N12" s="7">
        <f>14088+2266</f>
        <v>16354</v>
      </c>
      <c r="O12" s="8"/>
      <c r="P12" s="8">
        <v>457</v>
      </c>
      <c r="Q12" s="8"/>
      <c r="R12" s="10">
        <f t="shared" si="1"/>
        <v>57626</v>
      </c>
      <c r="S12" s="23"/>
    </row>
    <row r="13" spans="1:19" ht="23.25" customHeight="1">
      <c r="A13" s="56" t="s">
        <v>5</v>
      </c>
      <c r="B13" s="50" t="s">
        <v>8</v>
      </c>
      <c r="C13" s="6">
        <v>26050</v>
      </c>
      <c r="D13" s="7">
        <v>0</v>
      </c>
      <c r="E13" s="7">
        <v>55000</v>
      </c>
      <c r="F13" s="7">
        <f>35051+1276</f>
        <v>36327</v>
      </c>
      <c r="G13" s="7">
        <v>3464</v>
      </c>
      <c r="H13" s="7">
        <f>10510+10000</f>
        <v>20510</v>
      </c>
      <c r="I13" s="7">
        <v>0</v>
      </c>
      <c r="J13" s="8">
        <v>0</v>
      </c>
      <c r="K13" s="9">
        <f t="shared" si="0"/>
        <v>141351</v>
      </c>
      <c r="L13" s="6">
        <f>32104+1026+8015</f>
        <v>41145</v>
      </c>
      <c r="M13" s="7">
        <f>8696+250+1476</f>
        <v>10422</v>
      </c>
      <c r="N13" s="7">
        <f>20301+69483</f>
        <v>89784</v>
      </c>
      <c r="O13" s="8">
        <v>0</v>
      </c>
      <c r="P13" s="8">
        <v>0</v>
      </c>
      <c r="Q13" s="8">
        <v>0</v>
      </c>
      <c r="R13" s="10">
        <f t="shared" si="1"/>
        <v>141351</v>
      </c>
      <c r="S13" s="11"/>
    </row>
    <row r="14" spans="1:19" ht="23.25" customHeight="1" thickBot="1">
      <c r="A14" s="56" t="s">
        <v>7</v>
      </c>
      <c r="B14" s="149" t="s">
        <v>141</v>
      </c>
      <c r="C14" s="12">
        <v>105</v>
      </c>
      <c r="D14" s="13"/>
      <c r="E14" s="13"/>
      <c r="F14" s="13"/>
      <c r="G14" s="13">
        <v>1164</v>
      </c>
      <c r="H14" s="13"/>
      <c r="I14" s="13"/>
      <c r="J14" s="14"/>
      <c r="K14" s="15">
        <f t="shared" si="0"/>
        <v>1269</v>
      </c>
      <c r="L14" s="12"/>
      <c r="M14" s="13"/>
      <c r="N14" s="13">
        <v>1269</v>
      </c>
      <c r="O14" s="14"/>
      <c r="P14" s="14"/>
      <c r="Q14" s="14"/>
      <c r="R14" s="158">
        <f t="shared" si="1"/>
        <v>1269</v>
      </c>
      <c r="S14" s="11"/>
    </row>
    <row r="15" spans="1:19" ht="26.25" customHeight="1" thickBot="1">
      <c r="A15" s="56" t="s">
        <v>9</v>
      </c>
      <c r="B15" s="170" t="s">
        <v>375</v>
      </c>
      <c r="C15" s="177">
        <f aca="true" t="shared" si="2" ref="C15:R15">SUM(C9:C14)</f>
        <v>112491</v>
      </c>
      <c r="D15" s="159">
        <f t="shared" si="2"/>
        <v>840734</v>
      </c>
      <c r="E15" s="159">
        <f t="shared" si="2"/>
        <v>70316</v>
      </c>
      <c r="F15" s="159">
        <f t="shared" si="2"/>
        <v>382311</v>
      </c>
      <c r="G15" s="159">
        <f t="shared" si="2"/>
        <v>30514</v>
      </c>
      <c r="H15" s="159">
        <f t="shared" si="2"/>
        <v>40063</v>
      </c>
      <c r="I15" s="159">
        <f t="shared" si="2"/>
        <v>457</v>
      </c>
      <c r="J15" s="187">
        <f t="shared" si="2"/>
        <v>0</v>
      </c>
      <c r="K15" s="190">
        <f t="shared" si="2"/>
        <v>1476886</v>
      </c>
      <c r="L15" s="192">
        <f t="shared" si="2"/>
        <v>815163</v>
      </c>
      <c r="M15" s="159">
        <f t="shared" si="2"/>
        <v>218394</v>
      </c>
      <c r="N15" s="159">
        <f t="shared" si="2"/>
        <v>418453</v>
      </c>
      <c r="O15" s="159">
        <f t="shared" si="2"/>
        <v>24419</v>
      </c>
      <c r="P15" s="159">
        <f t="shared" si="2"/>
        <v>457</v>
      </c>
      <c r="Q15" s="187">
        <f t="shared" si="2"/>
        <v>0</v>
      </c>
      <c r="R15" s="190">
        <f t="shared" si="2"/>
        <v>1476886</v>
      </c>
      <c r="S15" s="11"/>
    </row>
    <row r="16" spans="1:19" ht="23.25" customHeight="1">
      <c r="A16" s="56" t="s">
        <v>14</v>
      </c>
      <c r="B16" s="171" t="s">
        <v>142</v>
      </c>
      <c r="C16" s="178">
        <v>57000</v>
      </c>
      <c r="D16" s="17"/>
      <c r="E16" s="17"/>
      <c r="F16" s="17"/>
      <c r="G16" s="17"/>
      <c r="H16" s="17">
        <v>3543837</v>
      </c>
      <c r="I16" s="17">
        <v>100000</v>
      </c>
      <c r="J16" s="18"/>
      <c r="K16" s="10">
        <f>SUM(C16:J16)</f>
        <v>3700837</v>
      </c>
      <c r="L16" s="16">
        <f>2052730</f>
        <v>2052730</v>
      </c>
      <c r="M16" s="17">
        <f>545333</f>
        <v>545333</v>
      </c>
      <c r="N16" s="17">
        <f>1002774</f>
        <v>1002774</v>
      </c>
      <c r="O16" s="18"/>
      <c r="P16" s="18">
        <f>100000</f>
        <v>100000</v>
      </c>
      <c r="Q16" s="18"/>
      <c r="R16" s="10">
        <f>SUM(L16:Q16)</f>
        <v>3700837</v>
      </c>
      <c r="S16" s="11"/>
    </row>
    <row r="17" spans="1:19" ht="23.25" customHeight="1" thickBot="1">
      <c r="A17" s="56" t="s">
        <v>10</v>
      </c>
      <c r="B17" s="172" t="s">
        <v>140</v>
      </c>
      <c r="C17" s="179">
        <v>3500</v>
      </c>
      <c r="D17" s="13"/>
      <c r="E17" s="13"/>
      <c r="F17" s="13"/>
      <c r="G17" s="13">
        <v>28261</v>
      </c>
      <c r="H17" s="13">
        <v>124750</v>
      </c>
      <c r="I17" s="13"/>
      <c r="J17" s="14"/>
      <c r="K17" s="15">
        <f>SUM(C17:J17)</f>
        <v>156511</v>
      </c>
      <c r="L17" s="12">
        <f>62627+7500</f>
        <v>70127</v>
      </c>
      <c r="M17" s="13">
        <f>15500+2000</f>
        <v>17500</v>
      </c>
      <c r="N17" s="13">
        <f>50123+18761</f>
        <v>68884</v>
      </c>
      <c r="O17" s="14"/>
      <c r="P17" s="14"/>
      <c r="Q17" s="14"/>
      <c r="R17" s="15">
        <f>SUM(L17:Q17)</f>
        <v>156511</v>
      </c>
      <c r="S17" s="11"/>
    </row>
    <row r="18" spans="1:19" ht="23.25" customHeight="1" thickBot="1">
      <c r="A18" s="56" t="s">
        <v>11</v>
      </c>
      <c r="B18" s="173" t="s">
        <v>143</v>
      </c>
      <c r="C18" s="177">
        <f aca="true" t="shared" si="3" ref="C18:N18">SUM(C16:C17)</f>
        <v>60500</v>
      </c>
      <c r="D18" s="159">
        <f t="shared" si="3"/>
        <v>0</v>
      </c>
      <c r="E18" s="159">
        <f t="shared" si="3"/>
        <v>0</v>
      </c>
      <c r="F18" s="159">
        <f t="shared" si="3"/>
        <v>0</v>
      </c>
      <c r="G18" s="159">
        <f t="shared" si="3"/>
        <v>28261</v>
      </c>
      <c r="H18" s="159">
        <f t="shared" si="3"/>
        <v>3668587</v>
      </c>
      <c r="I18" s="159">
        <f t="shared" si="3"/>
        <v>100000</v>
      </c>
      <c r="J18" s="187">
        <f t="shared" si="3"/>
        <v>0</v>
      </c>
      <c r="K18" s="190">
        <f t="shared" si="3"/>
        <v>3857348</v>
      </c>
      <c r="L18" s="192">
        <f t="shared" si="3"/>
        <v>2122857</v>
      </c>
      <c r="M18" s="159">
        <f t="shared" si="3"/>
        <v>562833</v>
      </c>
      <c r="N18" s="159">
        <f t="shared" si="3"/>
        <v>1071658</v>
      </c>
      <c r="O18" s="159"/>
      <c r="P18" s="159">
        <f>SUM(P16:P17)</f>
        <v>100000</v>
      </c>
      <c r="Q18" s="187">
        <f>SUM(Q16:Q17)</f>
        <v>0</v>
      </c>
      <c r="R18" s="190">
        <f>SUM(R16:R17)</f>
        <v>3857348</v>
      </c>
      <c r="S18" s="11"/>
    </row>
    <row r="19" spans="1:19" ht="23.25" customHeight="1">
      <c r="A19" s="56" t="s">
        <v>15</v>
      </c>
      <c r="B19" s="174" t="s">
        <v>13</v>
      </c>
      <c r="C19" s="180">
        <v>341</v>
      </c>
      <c r="D19" s="161">
        <v>130224</v>
      </c>
      <c r="E19" s="161">
        <v>6523</v>
      </c>
      <c r="F19" s="161">
        <v>92388</v>
      </c>
      <c r="G19" s="161"/>
      <c r="H19" s="161"/>
      <c r="I19" s="161"/>
      <c r="J19" s="162"/>
      <c r="K19" s="163">
        <f aca="true" t="shared" si="4" ref="K19:K26">SUM(C19:J19)</f>
        <v>229476</v>
      </c>
      <c r="L19" s="160">
        <f>157334+465</f>
        <v>157799</v>
      </c>
      <c r="M19" s="161">
        <f>42402+125</f>
        <v>42527</v>
      </c>
      <c r="N19" s="161">
        <f>29740-590</f>
        <v>29150</v>
      </c>
      <c r="O19" s="161"/>
      <c r="P19" s="164"/>
      <c r="Q19" s="165"/>
      <c r="R19" s="163">
        <f aca="true" t="shared" si="5" ref="R19:R28">SUM(L19:Q19)</f>
        <v>229476</v>
      </c>
      <c r="S19" s="11"/>
    </row>
    <row r="20" spans="1:19" ht="23.25" customHeight="1">
      <c r="A20" s="56" t="s">
        <v>60</v>
      </c>
      <c r="B20" s="175" t="s">
        <v>12</v>
      </c>
      <c r="C20" s="181">
        <f>100+2000</f>
        <v>2100</v>
      </c>
      <c r="D20" s="25">
        <v>86361</v>
      </c>
      <c r="E20" s="25"/>
      <c r="F20" s="25">
        <f>46943-2000</f>
        <v>44943</v>
      </c>
      <c r="G20" s="132"/>
      <c r="H20" s="25">
        <v>1212</v>
      </c>
      <c r="I20" s="25"/>
      <c r="J20" s="135"/>
      <c r="K20" s="134">
        <f t="shared" si="4"/>
        <v>134616</v>
      </c>
      <c r="L20" s="136">
        <f>83680+1410</f>
        <v>85090</v>
      </c>
      <c r="M20" s="25">
        <f>22486+380</f>
        <v>22866</v>
      </c>
      <c r="N20" s="25">
        <f>25870-1790</f>
        <v>24080</v>
      </c>
      <c r="O20" s="25">
        <v>2580</v>
      </c>
      <c r="P20" s="131"/>
      <c r="Q20" s="133"/>
      <c r="R20" s="134">
        <f t="shared" si="5"/>
        <v>134616</v>
      </c>
      <c r="S20" s="11"/>
    </row>
    <row r="21" spans="1:19" ht="23.25" customHeight="1">
      <c r="A21" s="56" t="s">
        <v>61</v>
      </c>
      <c r="B21" s="175" t="s">
        <v>205</v>
      </c>
      <c r="C21" s="181">
        <v>540</v>
      </c>
      <c r="D21" s="25">
        <v>33638</v>
      </c>
      <c r="E21" s="25"/>
      <c r="F21" s="25">
        <v>35227</v>
      </c>
      <c r="G21" s="132"/>
      <c r="H21" s="25"/>
      <c r="I21" s="25"/>
      <c r="J21" s="135"/>
      <c r="K21" s="134">
        <f t="shared" si="4"/>
        <v>69405</v>
      </c>
      <c r="L21" s="136">
        <v>46513</v>
      </c>
      <c r="M21" s="25">
        <v>12632</v>
      </c>
      <c r="N21" s="25">
        <v>9000</v>
      </c>
      <c r="O21" s="25">
        <v>1260</v>
      </c>
      <c r="P21" s="131"/>
      <c r="Q21" s="133"/>
      <c r="R21" s="134">
        <f t="shared" si="5"/>
        <v>69405</v>
      </c>
      <c r="S21" s="11"/>
    </row>
    <row r="22" spans="1:19" ht="23.25" customHeight="1">
      <c r="A22" s="56" t="s">
        <v>62</v>
      </c>
      <c r="B22" s="175" t="s">
        <v>206</v>
      </c>
      <c r="C22" s="181">
        <v>3901</v>
      </c>
      <c r="D22" s="25">
        <v>33401</v>
      </c>
      <c r="E22" s="25"/>
      <c r="F22" s="25">
        <v>23825</v>
      </c>
      <c r="G22" s="132"/>
      <c r="H22" s="25"/>
      <c r="I22" s="25"/>
      <c r="J22" s="135"/>
      <c r="K22" s="134">
        <f t="shared" si="4"/>
        <v>61127</v>
      </c>
      <c r="L22" s="136">
        <v>42474</v>
      </c>
      <c r="M22" s="25">
        <v>11261</v>
      </c>
      <c r="N22" s="25">
        <v>7392</v>
      </c>
      <c r="O22" s="25"/>
      <c r="P22" s="131"/>
      <c r="Q22" s="133"/>
      <c r="R22" s="134">
        <f t="shared" si="5"/>
        <v>61127</v>
      </c>
      <c r="S22" s="11"/>
    </row>
    <row r="23" spans="1:19" ht="23.25" customHeight="1">
      <c r="A23" s="56" t="s">
        <v>63</v>
      </c>
      <c r="B23" s="175" t="s">
        <v>44</v>
      </c>
      <c r="C23" s="181">
        <v>0</v>
      </c>
      <c r="D23" s="25">
        <v>20501</v>
      </c>
      <c r="E23" s="25">
        <v>40737</v>
      </c>
      <c r="F23" s="25">
        <v>0</v>
      </c>
      <c r="G23" s="132"/>
      <c r="H23" s="25">
        <v>1000</v>
      </c>
      <c r="I23" s="25"/>
      <c r="J23" s="135"/>
      <c r="K23" s="134">
        <f>SUM(C23:J23)</f>
        <v>62238</v>
      </c>
      <c r="L23" s="136">
        <v>42206</v>
      </c>
      <c r="M23" s="25">
        <v>11396</v>
      </c>
      <c r="N23" s="25">
        <f>8636</f>
        <v>8636</v>
      </c>
      <c r="O23" s="25"/>
      <c r="P23" s="131"/>
      <c r="Q23" s="133"/>
      <c r="R23" s="134">
        <f t="shared" si="5"/>
        <v>62238</v>
      </c>
      <c r="S23" s="11"/>
    </row>
    <row r="24" spans="1:19" ht="23.25" customHeight="1" thickBot="1">
      <c r="A24" s="56" t="s">
        <v>64</v>
      </c>
      <c r="B24" s="176" t="s">
        <v>45</v>
      </c>
      <c r="C24" s="182">
        <v>37566</v>
      </c>
      <c r="D24" s="26">
        <v>164083</v>
      </c>
      <c r="E24" s="26">
        <v>35825</v>
      </c>
      <c r="F24" s="26">
        <v>51083</v>
      </c>
      <c r="G24" s="26"/>
      <c r="H24" s="26">
        <v>10600</v>
      </c>
      <c r="I24" s="26"/>
      <c r="J24" s="166"/>
      <c r="K24" s="167">
        <f t="shared" si="4"/>
        <v>299157</v>
      </c>
      <c r="L24" s="193">
        <f>179708+2858</f>
        <v>182566</v>
      </c>
      <c r="M24" s="26">
        <f>45554+772</f>
        <v>46326</v>
      </c>
      <c r="N24" s="26">
        <f>73195-3630</f>
        <v>69565</v>
      </c>
      <c r="O24" s="26">
        <v>700</v>
      </c>
      <c r="P24" s="26"/>
      <c r="Q24" s="166"/>
      <c r="R24" s="167">
        <f t="shared" si="5"/>
        <v>299157</v>
      </c>
      <c r="S24" s="11"/>
    </row>
    <row r="25" spans="1:19" ht="23.25" customHeight="1" thickBot="1">
      <c r="A25" s="56" t="s">
        <v>65</v>
      </c>
      <c r="B25" s="170" t="s">
        <v>374</v>
      </c>
      <c r="C25" s="183">
        <f aca="true" t="shared" si="6" ref="C25:J25">SUM(C19:C24)</f>
        <v>44448</v>
      </c>
      <c r="D25" s="168">
        <f t="shared" si="6"/>
        <v>468208</v>
      </c>
      <c r="E25" s="168">
        <f t="shared" si="6"/>
        <v>83085</v>
      </c>
      <c r="F25" s="168">
        <f t="shared" si="6"/>
        <v>247466</v>
      </c>
      <c r="G25" s="168">
        <f t="shared" si="6"/>
        <v>0</v>
      </c>
      <c r="H25" s="168">
        <f t="shared" si="6"/>
        <v>12812</v>
      </c>
      <c r="I25" s="168">
        <f t="shared" si="6"/>
        <v>0</v>
      </c>
      <c r="J25" s="188">
        <f t="shared" si="6"/>
        <v>0</v>
      </c>
      <c r="K25" s="190">
        <f>SUM(C25:J25)</f>
        <v>856019</v>
      </c>
      <c r="L25" s="194">
        <f aca="true" t="shared" si="7" ref="L25:Q25">SUM(L19:L24)</f>
        <v>556648</v>
      </c>
      <c r="M25" s="168">
        <f t="shared" si="7"/>
        <v>147008</v>
      </c>
      <c r="N25" s="168">
        <f t="shared" si="7"/>
        <v>147823</v>
      </c>
      <c r="O25" s="168">
        <f t="shared" si="7"/>
        <v>4540</v>
      </c>
      <c r="P25" s="168">
        <f t="shared" si="7"/>
        <v>0</v>
      </c>
      <c r="Q25" s="188">
        <f t="shared" si="7"/>
        <v>0</v>
      </c>
      <c r="R25" s="190">
        <f t="shared" si="5"/>
        <v>856019</v>
      </c>
      <c r="S25" s="11"/>
    </row>
    <row r="26" spans="1:19" ht="23.25" customHeight="1">
      <c r="A26" s="130" t="s">
        <v>66</v>
      </c>
      <c r="B26" s="289" t="s">
        <v>322</v>
      </c>
      <c r="C26" s="178">
        <f>69900-19000</f>
        <v>50900</v>
      </c>
      <c r="D26" s="17"/>
      <c r="E26" s="17"/>
      <c r="F26" s="17">
        <f>762194+170218</f>
        <v>932412</v>
      </c>
      <c r="G26" s="16"/>
      <c r="H26" s="16"/>
      <c r="I26" s="17"/>
      <c r="J26" s="18"/>
      <c r="K26" s="10">
        <f t="shared" si="4"/>
        <v>983312</v>
      </c>
      <c r="L26" s="16">
        <f>446088-105495</f>
        <v>340593</v>
      </c>
      <c r="M26" s="17">
        <f>112332-21752</f>
        <v>90580</v>
      </c>
      <c r="N26" s="17">
        <f>254674+297465</f>
        <v>552139</v>
      </c>
      <c r="O26" s="16"/>
      <c r="P26" s="18"/>
      <c r="Q26" s="18"/>
      <c r="R26" s="10">
        <f t="shared" si="5"/>
        <v>983312</v>
      </c>
      <c r="S26" s="11"/>
    </row>
    <row r="27" spans="1:19" ht="23.25" customHeight="1">
      <c r="A27" s="130" t="s">
        <v>68</v>
      </c>
      <c r="B27" s="290" t="s">
        <v>308</v>
      </c>
      <c r="C27" s="184">
        <f>9790+8300+986500+6000</f>
        <v>1010590</v>
      </c>
      <c r="D27" s="20">
        <f>475177</f>
        <v>475177</v>
      </c>
      <c r="E27" s="20">
        <v>56301</v>
      </c>
      <c r="F27" s="20"/>
      <c r="G27" s="20">
        <f>1000000+422052</f>
        <v>1422052</v>
      </c>
      <c r="H27" s="20">
        <f>98400+274930+129422+23017+4648</f>
        <v>530417</v>
      </c>
      <c r="I27" s="20">
        <f>1170767+5000+7537+6000</f>
        <v>1189304</v>
      </c>
      <c r="J27" s="21">
        <f>770340-134014-91000+800+69022-220156+152439+47000+1276+1850+900-512</f>
        <v>597945</v>
      </c>
      <c r="K27" s="158">
        <f>SUM(C27:J27)</f>
        <v>5281786</v>
      </c>
      <c r="L27" s="19">
        <f>42214+115995</f>
        <v>158209</v>
      </c>
      <c r="M27" s="20">
        <f>11325+24752</f>
        <v>36077</v>
      </c>
      <c r="N27" s="20">
        <f>859043+20000-129422-23017+1850+900-173520+230+149</f>
        <v>556213</v>
      </c>
      <c r="O27" s="21"/>
      <c r="P27" s="21">
        <f>2189304-141551+289665</f>
        <v>2337418</v>
      </c>
      <c r="Q27" s="21">
        <f>470742+7537</f>
        <v>478279</v>
      </c>
      <c r="R27" s="15">
        <f t="shared" si="5"/>
        <v>3566196</v>
      </c>
      <c r="S27" s="11"/>
    </row>
    <row r="28" spans="1:19" ht="23.25" customHeight="1" thickBot="1">
      <c r="A28" s="130" t="s">
        <v>69</v>
      </c>
      <c r="B28" s="291"/>
      <c r="C28" s="185"/>
      <c r="D28" s="186"/>
      <c r="E28" s="186"/>
      <c r="F28" s="186"/>
      <c r="G28" s="186"/>
      <c r="H28" s="186"/>
      <c r="I28" s="186"/>
      <c r="J28" s="189"/>
      <c r="K28" s="196"/>
      <c r="L28" s="195"/>
      <c r="M28" s="186"/>
      <c r="N28" s="186">
        <f>1489096+1276+225218</f>
        <v>1715590</v>
      </c>
      <c r="O28" s="186"/>
      <c r="P28" s="186"/>
      <c r="Q28" s="189"/>
      <c r="R28" s="191">
        <f t="shared" si="5"/>
        <v>1715590</v>
      </c>
      <c r="S28" s="11"/>
    </row>
    <row r="29" spans="1:19" ht="22.5" customHeight="1" thickBot="1">
      <c r="A29" s="56" t="s">
        <v>70</v>
      </c>
      <c r="B29" s="263" t="s">
        <v>139</v>
      </c>
      <c r="C29" s="264">
        <f aca="true" t="shared" si="8" ref="C29:J29">SUM(C15+C18+C25+C26+C27)</f>
        <v>1278929</v>
      </c>
      <c r="D29" s="264">
        <f t="shared" si="8"/>
        <v>1784119</v>
      </c>
      <c r="E29" s="264">
        <f t="shared" si="8"/>
        <v>209702</v>
      </c>
      <c r="F29" s="264">
        <f t="shared" si="8"/>
        <v>1562189</v>
      </c>
      <c r="G29" s="264">
        <f t="shared" si="8"/>
        <v>1480827</v>
      </c>
      <c r="H29" s="264">
        <f t="shared" si="8"/>
        <v>4251879</v>
      </c>
      <c r="I29" s="264">
        <f>SUM(I15+I18+I25+I26+I27)</f>
        <v>1289761</v>
      </c>
      <c r="J29" s="265">
        <f t="shared" si="8"/>
        <v>597945</v>
      </c>
      <c r="K29" s="266">
        <f>SUM(K15+K18+K25+K26+K27)</f>
        <v>12455351</v>
      </c>
      <c r="L29" s="264">
        <f aca="true" t="shared" si="9" ref="L29:R29">SUM(L15+L18+L25+L26+L27+L28)</f>
        <v>3993470</v>
      </c>
      <c r="M29" s="264">
        <f t="shared" si="9"/>
        <v>1054892</v>
      </c>
      <c r="N29" s="264">
        <f t="shared" si="9"/>
        <v>4461876</v>
      </c>
      <c r="O29" s="264">
        <f t="shared" si="9"/>
        <v>28959</v>
      </c>
      <c r="P29" s="264">
        <f t="shared" si="9"/>
        <v>2437875</v>
      </c>
      <c r="Q29" s="265">
        <f t="shared" si="9"/>
        <v>478279</v>
      </c>
      <c r="R29" s="266">
        <f t="shared" si="9"/>
        <v>12455351</v>
      </c>
      <c r="S29" s="11"/>
    </row>
    <row r="30" spans="2:18" ht="14.25">
      <c r="B30" s="22"/>
      <c r="H30" s="22"/>
      <c r="K30" s="40"/>
      <c r="L30" s="11"/>
      <c r="N30" s="267"/>
      <c r="R30" s="40">
        <f>N28</f>
        <v>1715590</v>
      </c>
    </row>
    <row r="31" spans="2:18" ht="12.75">
      <c r="B31" s="22"/>
      <c r="C31" s="11"/>
      <c r="D31" s="11"/>
      <c r="E31" s="11"/>
      <c r="F31" s="11"/>
      <c r="G31" s="11"/>
      <c r="H31" s="11"/>
      <c r="I31" s="23"/>
      <c r="J31" s="23"/>
      <c r="K31" s="24"/>
      <c r="L31" s="11"/>
      <c r="M31" s="11"/>
      <c r="N31" s="11"/>
      <c r="O31" s="11"/>
      <c r="P31" s="11"/>
      <c r="Q31" s="11"/>
      <c r="R31" s="24">
        <f>R29-R30</f>
        <v>10739761</v>
      </c>
    </row>
    <row r="32" spans="2:18" ht="12.75">
      <c r="B32" s="22"/>
      <c r="C32" s="11"/>
      <c r="D32" s="11"/>
      <c r="E32" s="11"/>
      <c r="F32" s="11"/>
      <c r="G32" s="11"/>
      <c r="H32" s="11"/>
      <c r="I32" s="11"/>
      <c r="J32" s="11"/>
      <c r="K32" s="11"/>
      <c r="L32" s="22"/>
      <c r="M32" s="11"/>
      <c r="N32" s="11"/>
      <c r="O32" s="11"/>
      <c r="P32" s="11"/>
      <c r="Q32" s="11"/>
      <c r="R32" s="11"/>
    </row>
    <row r="33" spans="2:18" ht="12.75">
      <c r="B33" s="22"/>
      <c r="G33" s="22"/>
      <c r="H33" s="11"/>
      <c r="J33" s="11"/>
      <c r="K33" s="11"/>
      <c r="R33" s="11"/>
    </row>
    <row r="34" spans="8:13" ht="12.75">
      <c r="H34" s="11"/>
      <c r="I34" s="22"/>
      <c r="J34" s="24"/>
      <c r="M34" s="22"/>
    </row>
    <row r="35" ht="12.75">
      <c r="J35" s="11"/>
    </row>
    <row r="36" spans="8:18" ht="12.75">
      <c r="H36" s="22"/>
      <c r="R36" s="22"/>
    </row>
    <row r="37" ht="12.75">
      <c r="R37" s="22"/>
    </row>
    <row r="41" ht="12.75">
      <c r="I41" s="22" t="s">
        <v>42</v>
      </c>
    </row>
  </sheetData>
  <mergeCells count="2">
    <mergeCell ref="P4:R4"/>
    <mergeCell ref="P1:R1"/>
  </mergeCells>
  <printOptions/>
  <pageMargins left="0.17" right="0.17" top="0.23" bottom="0.25" header="0.32" footer="0.16"/>
  <pageSetup horizontalDpi="600" verticalDpi="600" orientation="landscape" paperSize="9" scale="80" r:id="rId1"/>
  <headerFooter alignWithMargins="0">
    <oddHeader>&amp;L&amp;8 4. melléklet a…/….(….) önkormányzati rendelethez&amp;C&amp;"Arial CE,Félkövér"&amp;11Az  önkormányzat és intézményeinek tervezett 
 bevételei és kiadásai
&amp;R
&amp;8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"/>
  <dimension ref="A1:I33"/>
  <sheetViews>
    <sheetView workbookViewId="0" topLeftCell="A10">
      <selection activeCell="I12" sqref="I12"/>
    </sheetView>
  </sheetViews>
  <sheetFormatPr defaultColWidth="9.00390625" defaultRowHeight="12.75"/>
  <cols>
    <col min="1" max="1" width="3.875" style="268" customWidth="1"/>
    <col min="2" max="2" width="6.875" style="268" customWidth="1"/>
    <col min="3" max="3" width="39.25390625" style="268" customWidth="1"/>
    <col min="4" max="4" width="11.25390625" style="268" customWidth="1"/>
    <col min="5" max="16384" width="9.125" style="268" customWidth="1"/>
  </cols>
  <sheetData>
    <row r="1" spans="2:6" ht="31.5" customHeight="1">
      <c r="B1" s="332" t="s">
        <v>385</v>
      </c>
      <c r="C1" s="332"/>
      <c r="D1" s="332"/>
      <c r="E1" s="332"/>
      <c r="F1" s="332"/>
    </row>
    <row r="2" ht="15.75">
      <c r="C2" s="269"/>
    </row>
    <row r="3" spans="1:9" ht="38.25" customHeight="1">
      <c r="A3" s="333" t="s">
        <v>386</v>
      </c>
      <c r="B3" s="333"/>
      <c r="C3" s="333"/>
      <c r="D3" s="333"/>
      <c r="E3" s="333"/>
      <c r="F3" s="333"/>
      <c r="G3" s="270"/>
      <c r="H3" s="270"/>
      <c r="I3" s="270"/>
    </row>
    <row r="4" spans="2:5" ht="13.5" thickBot="1">
      <c r="B4" s="271"/>
      <c r="E4" s="272"/>
    </row>
    <row r="5" spans="1:8" ht="13.5" thickBot="1">
      <c r="A5" s="292"/>
      <c r="B5" s="309" t="s">
        <v>99</v>
      </c>
      <c r="C5" s="294" t="s">
        <v>387</v>
      </c>
      <c r="D5" s="294" t="s">
        <v>101</v>
      </c>
      <c r="E5" s="294" t="s">
        <v>102</v>
      </c>
      <c r="F5" s="294" t="s">
        <v>103</v>
      </c>
      <c r="G5" s="295" t="s">
        <v>104</v>
      </c>
      <c r="H5" s="320"/>
    </row>
    <row r="6" spans="1:8" ht="36.75" thickBot="1">
      <c r="A6" s="308"/>
      <c r="B6" s="310" t="s">
        <v>388</v>
      </c>
      <c r="C6" s="279" t="s">
        <v>389</v>
      </c>
      <c r="D6" s="280" t="s">
        <v>390</v>
      </c>
      <c r="E6" s="280" t="s">
        <v>391</v>
      </c>
      <c r="F6" s="280" t="s">
        <v>392</v>
      </c>
      <c r="G6" s="298" t="s">
        <v>414</v>
      </c>
      <c r="H6" s="324"/>
    </row>
    <row r="7" spans="1:8" ht="12.75">
      <c r="A7" s="281" t="s">
        <v>0</v>
      </c>
      <c r="B7" s="311" t="s">
        <v>0</v>
      </c>
      <c r="C7" s="283" t="s">
        <v>1</v>
      </c>
      <c r="D7" s="312">
        <v>120</v>
      </c>
      <c r="E7" s="312">
        <v>90</v>
      </c>
      <c r="F7" s="285">
        <v>90</v>
      </c>
      <c r="G7" s="299">
        <f>F7+1</f>
        <v>91</v>
      </c>
      <c r="H7" s="321"/>
    </row>
    <row r="8" spans="1:8" ht="12.75">
      <c r="A8" s="281" t="s">
        <v>2</v>
      </c>
      <c r="B8" s="313" t="s">
        <v>2</v>
      </c>
      <c r="C8" s="274" t="s">
        <v>393</v>
      </c>
      <c r="D8" s="275">
        <v>118</v>
      </c>
      <c r="E8" s="275">
        <v>118</v>
      </c>
      <c r="F8" s="288">
        <v>118</v>
      </c>
      <c r="G8" s="300">
        <f>F8+3</f>
        <v>121</v>
      </c>
      <c r="H8" s="321"/>
    </row>
    <row r="9" spans="1:8" ht="12.75">
      <c r="A9" s="281" t="s">
        <v>3</v>
      </c>
      <c r="B9" s="313" t="s">
        <v>3</v>
      </c>
      <c r="C9" s="274" t="s">
        <v>394</v>
      </c>
      <c r="D9" s="275">
        <v>105</v>
      </c>
      <c r="E9" s="275">
        <v>105</v>
      </c>
      <c r="F9" s="288">
        <v>105</v>
      </c>
      <c r="G9" s="300">
        <v>105</v>
      </c>
      <c r="H9" s="321"/>
    </row>
    <row r="10" spans="1:8" ht="14.25" customHeight="1">
      <c r="A10" s="281" t="s">
        <v>4</v>
      </c>
      <c r="B10" s="313" t="s">
        <v>4</v>
      </c>
      <c r="C10" s="274" t="s">
        <v>6</v>
      </c>
      <c r="D10" s="275">
        <v>13</v>
      </c>
      <c r="E10" s="275">
        <v>13</v>
      </c>
      <c r="F10" s="288">
        <v>14</v>
      </c>
      <c r="G10" s="300">
        <v>14</v>
      </c>
      <c r="H10" s="321"/>
    </row>
    <row r="11" spans="1:8" ht="12.75">
      <c r="A11" s="281" t="s">
        <v>5</v>
      </c>
      <c r="B11" s="313" t="s">
        <v>5</v>
      </c>
      <c r="C11" s="274" t="s">
        <v>8</v>
      </c>
      <c r="D11" s="275">
        <v>16</v>
      </c>
      <c r="E11" s="275">
        <v>16</v>
      </c>
      <c r="F11" s="288">
        <v>16</v>
      </c>
      <c r="G11" s="300">
        <v>16</v>
      </c>
      <c r="H11" s="321"/>
    </row>
    <row r="12" spans="1:8" ht="12.75">
      <c r="A12" s="281" t="s">
        <v>7</v>
      </c>
      <c r="B12" s="313" t="s">
        <v>7</v>
      </c>
      <c r="C12" s="274" t="s">
        <v>395</v>
      </c>
      <c r="D12" s="275"/>
      <c r="E12" s="275"/>
      <c r="F12" s="288"/>
      <c r="G12" s="300"/>
      <c r="H12" s="321"/>
    </row>
    <row r="13" spans="1:8" ht="12.75">
      <c r="A13" s="281" t="s">
        <v>9</v>
      </c>
      <c r="B13" s="313" t="s">
        <v>9</v>
      </c>
      <c r="C13" s="274" t="s">
        <v>396</v>
      </c>
      <c r="D13" s="275">
        <v>882</v>
      </c>
      <c r="E13" s="275">
        <v>882</v>
      </c>
      <c r="F13" s="288">
        <v>882</v>
      </c>
      <c r="G13" s="300">
        <v>882</v>
      </c>
      <c r="H13" s="321"/>
    </row>
    <row r="14" spans="1:8" ht="12.75">
      <c r="A14" s="281" t="s">
        <v>14</v>
      </c>
      <c r="B14" s="313" t="s">
        <v>14</v>
      </c>
      <c r="C14" s="274" t="s">
        <v>397</v>
      </c>
      <c r="D14" s="275">
        <v>28</v>
      </c>
      <c r="E14" s="275">
        <v>28</v>
      </c>
      <c r="F14" s="288">
        <v>28</v>
      </c>
      <c r="G14" s="300">
        <v>28</v>
      </c>
      <c r="H14" s="321"/>
    </row>
    <row r="15" spans="1:8" ht="12.75">
      <c r="A15" s="281" t="s">
        <v>10</v>
      </c>
      <c r="B15" s="313" t="s">
        <v>10</v>
      </c>
      <c r="C15" s="274" t="s">
        <v>308</v>
      </c>
      <c r="D15" s="275"/>
      <c r="E15" s="275"/>
      <c r="F15" s="288">
        <v>27</v>
      </c>
      <c r="G15" s="300">
        <v>27</v>
      </c>
      <c r="H15" s="321"/>
    </row>
    <row r="16" spans="1:8" ht="12.75">
      <c r="A16" s="281" t="s">
        <v>11</v>
      </c>
      <c r="B16" s="313" t="s">
        <v>11</v>
      </c>
      <c r="C16" s="274" t="s">
        <v>398</v>
      </c>
      <c r="D16" s="275">
        <v>96</v>
      </c>
      <c r="E16" s="275">
        <v>96</v>
      </c>
      <c r="F16" s="288">
        <v>115</v>
      </c>
      <c r="G16" s="314">
        <f>F16+4</f>
        <v>119</v>
      </c>
      <c r="H16" s="322"/>
    </row>
    <row r="17" spans="1:8" ht="12.75">
      <c r="A17" s="281" t="s">
        <v>15</v>
      </c>
      <c r="B17" s="313"/>
      <c r="C17" s="274" t="s">
        <v>399</v>
      </c>
      <c r="D17" s="275">
        <f>D33</f>
        <v>322</v>
      </c>
      <c r="E17" s="275">
        <f>E33</f>
        <v>357</v>
      </c>
      <c r="F17" s="288">
        <f>F33</f>
        <v>288</v>
      </c>
      <c r="G17" s="300">
        <f>G33</f>
        <v>297</v>
      </c>
      <c r="H17" s="321"/>
    </row>
    <row r="18" spans="1:8" ht="13.5" thickBot="1">
      <c r="A18" s="281" t="s">
        <v>60</v>
      </c>
      <c r="B18" s="316"/>
      <c r="C18" s="302" t="s">
        <v>400</v>
      </c>
      <c r="D18" s="317">
        <v>220</v>
      </c>
      <c r="E18" s="317">
        <v>220</v>
      </c>
      <c r="F18" s="304">
        <v>266</v>
      </c>
      <c r="G18" s="305">
        <v>266</v>
      </c>
      <c r="H18" s="321"/>
    </row>
    <row r="19" spans="1:8" ht="15.75" thickBot="1">
      <c r="A19" s="315" t="s">
        <v>61</v>
      </c>
      <c r="B19" s="318"/>
      <c r="C19" s="276" t="s">
        <v>43</v>
      </c>
      <c r="D19" s="277">
        <f>SUM(D7:D18)</f>
        <v>1920</v>
      </c>
      <c r="E19" s="277">
        <f>SUM(E7:E18)</f>
        <v>1925</v>
      </c>
      <c r="F19" s="277">
        <f>SUM(F7:F18)</f>
        <v>1949</v>
      </c>
      <c r="G19" s="319">
        <f>SUM(G7:G18)</f>
        <v>1966</v>
      </c>
      <c r="H19" s="323"/>
    </row>
    <row r="20" ht="12.75">
      <c r="B20" s="278"/>
    </row>
    <row r="21" ht="12.75">
      <c r="B21" s="278"/>
    </row>
    <row r="22" spans="1:8" ht="33" customHeight="1">
      <c r="A22" s="333" t="s">
        <v>401</v>
      </c>
      <c r="B22" s="333"/>
      <c r="C22" s="333"/>
      <c r="D22" s="333"/>
      <c r="E22" s="333"/>
      <c r="F22" s="333"/>
      <c r="G22" s="270"/>
      <c r="H22" s="270"/>
    </row>
    <row r="23" ht="13.5" thickBot="1">
      <c r="B23" s="271"/>
    </row>
    <row r="24" spans="1:7" ht="13.5" thickBot="1">
      <c r="A24" s="292"/>
      <c r="B24" s="293" t="s">
        <v>99</v>
      </c>
      <c r="C24" s="294" t="s">
        <v>387</v>
      </c>
      <c r="D24" s="294" t="s">
        <v>101</v>
      </c>
      <c r="E24" s="294" t="s">
        <v>102</v>
      </c>
      <c r="F24" s="294" t="s">
        <v>103</v>
      </c>
      <c r="G24" s="295" t="s">
        <v>104</v>
      </c>
    </row>
    <row r="25" spans="1:7" ht="36.75" thickBot="1">
      <c r="A25" s="273"/>
      <c r="B25" s="296" t="s">
        <v>388</v>
      </c>
      <c r="C25" s="297" t="s">
        <v>389</v>
      </c>
      <c r="D25" s="280" t="s">
        <v>402</v>
      </c>
      <c r="E25" s="280" t="s">
        <v>391</v>
      </c>
      <c r="F25" s="280" t="s">
        <v>392</v>
      </c>
      <c r="G25" s="298" t="s">
        <v>414</v>
      </c>
    </row>
    <row r="26" spans="1:7" ht="12.75">
      <c r="A26" s="281" t="s">
        <v>62</v>
      </c>
      <c r="B26" s="282" t="s">
        <v>403</v>
      </c>
      <c r="C26" s="283" t="s">
        <v>12</v>
      </c>
      <c r="D26" s="284">
        <v>41</v>
      </c>
      <c r="E26" s="285">
        <v>41</v>
      </c>
      <c r="F26" s="285">
        <v>41</v>
      </c>
      <c r="G26" s="299">
        <f>F26+2</f>
        <v>43</v>
      </c>
    </row>
    <row r="27" spans="1:7" ht="12.75">
      <c r="A27" s="281" t="s">
        <v>63</v>
      </c>
      <c r="B27" s="286" t="s">
        <v>404</v>
      </c>
      <c r="C27" s="274" t="s">
        <v>205</v>
      </c>
      <c r="D27" s="287">
        <v>21</v>
      </c>
      <c r="E27" s="288">
        <v>20</v>
      </c>
      <c r="F27" s="288">
        <v>20</v>
      </c>
      <c r="G27" s="300">
        <v>20</v>
      </c>
    </row>
    <row r="28" spans="1:7" ht="12.75">
      <c r="A28" s="281" t="s">
        <v>64</v>
      </c>
      <c r="B28" s="286" t="s">
        <v>405</v>
      </c>
      <c r="C28" s="274" t="s">
        <v>406</v>
      </c>
      <c r="D28" s="287">
        <v>20</v>
      </c>
      <c r="E28" s="288">
        <v>20</v>
      </c>
      <c r="F28" s="288">
        <v>20</v>
      </c>
      <c r="G28" s="300">
        <v>20</v>
      </c>
    </row>
    <row r="29" spans="1:7" ht="12.75">
      <c r="A29" s="281" t="s">
        <v>65</v>
      </c>
      <c r="B29" s="286" t="s">
        <v>407</v>
      </c>
      <c r="C29" s="274" t="s">
        <v>13</v>
      </c>
      <c r="D29" s="287">
        <v>82</v>
      </c>
      <c r="E29" s="288">
        <v>76</v>
      </c>
      <c r="F29" s="288">
        <v>76</v>
      </c>
      <c r="G29" s="300">
        <f>F29+2</f>
        <v>78</v>
      </c>
    </row>
    <row r="30" spans="1:7" ht="12.75">
      <c r="A30" s="281" t="s">
        <v>66</v>
      </c>
      <c r="B30" s="286" t="s">
        <v>408</v>
      </c>
      <c r="C30" s="274" t="s">
        <v>409</v>
      </c>
      <c r="D30" s="287">
        <v>78</v>
      </c>
      <c r="E30" s="288">
        <v>112</v>
      </c>
      <c r="F30" s="288">
        <v>112</v>
      </c>
      <c r="G30" s="300">
        <f>F30+5</f>
        <v>117</v>
      </c>
    </row>
    <row r="31" spans="1:7" ht="12.75">
      <c r="A31" s="281" t="s">
        <v>68</v>
      </c>
      <c r="B31" s="286" t="s">
        <v>410</v>
      </c>
      <c r="C31" s="274" t="s">
        <v>411</v>
      </c>
      <c r="D31" s="287">
        <v>11</v>
      </c>
      <c r="E31" s="288">
        <v>19</v>
      </c>
      <c r="F31" s="288">
        <v>19</v>
      </c>
      <c r="G31" s="300">
        <v>19</v>
      </c>
    </row>
    <row r="32" spans="1:7" ht="13.5" thickBot="1">
      <c r="A32" s="281" t="s">
        <v>69</v>
      </c>
      <c r="B32" s="301" t="s">
        <v>412</v>
      </c>
      <c r="C32" s="302" t="s">
        <v>413</v>
      </c>
      <c r="D32" s="303">
        <v>69</v>
      </c>
      <c r="E32" s="304">
        <v>69</v>
      </c>
      <c r="F32" s="304">
        <v>0</v>
      </c>
      <c r="G32" s="305">
        <v>0</v>
      </c>
    </row>
    <row r="33" spans="1:7" ht="15.75" thickBot="1">
      <c r="A33" s="281" t="s">
        <v>70</v>
      </c>
      <c r="B33" s="306"/>
      <c r="C33" s="276" t="s">
        <v>43</v>
      </c>
      <c r="D33" s="276">
        <f>SUM(D26:D32)</f>
        <v>322</v>
      </c>
      <c r="E33" s="276">
        <f>SUM(E26:E32)</f>
        <v>357</v>
      </c>
      <c r="F33" s="276">
        <f>SUM(F26:F32)</f>
        <v>288</v>
      </c>
      <c r="G33" s="307">
        <f>SUM(G26:G32)</f>
        <v>297</v>
      </c>
    </row>
  </sheetData>
  <mergeCells count="3">
    <mergeCell ref="B1:F1"/>
    <mergeCell ref="A3:F3"/>
    <mergeCell ref="A22:F22"/>
  </mergeCells>
  <printOptions horizontalCentered="1"/>
  <pageMargins left="0.7874015748031497" right="0.7874015748031497" top="0.5905511811023623" bottom="0.3937007874015748" header="0.5118110236220472" footer="0.5118110236220472"/>
  <pageSetup fitToHeight="0" horizontalDpi="300" verticalDpi="300" orientation="landscape" scale="95" r:id="rId1"/>
  <headerFooter alignWithMargins="0">
    <oddHeader>&amp;L&amp;8 5. melléklet a ..../....(.....)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workbookViewId="0" topLeftCell="A32">
      <selection activeCell="G41" sqref="G41"/>
    </sheetView>
  </sheetViews>
  <sheetFormatPr defaultColWidth="9.00390625" defaultRowHeight="12.75"/>
  <cols>
    <col min="1" max="1" width="4.00390625" style="27" bestFit="1" customWidth="1"/>
    <col min="2" max="2" width="62.875" style="27" customWidth="1"/>
    <col min="3" max="3" width="11.125" style="27" customWidth="1"/>
    <col min="4" max="4" width="11.875" style="27" customWidth="1"/>
    <col min="5" max="16384" width="9.125" style="27" customWidth="1"/>
  </cols>
  <sheetData>
    <row r="1" spans="2:3" ht="15">
      <c r="B1" s="334" t="s">
        <v>85</v>
      </c>
      <c r="C1" s="334"/>
    </row>
    <row r="2" spans="3:5" ht="13.5" thickBot="1">
      <c r="C2" s="329" t="s">
        <v>201</v>
      </c>
      <c r="D2" s="330"/>
      <c r="E2" s="330"/>
    </row>
    <row r="3" spans="1:4" ht="13.5" thickBot="1">
      <c r="A3" s="57"/>
      <c r="B3" s="58" t="s">
        <v>99</v>
      </c>
      <c r="C3" s="240" t="s">
        <v>100</v>
      </c>
      <c r="D3" s="59" t="s">
        <v>101</v>
      </c>
    </row>
    <row r="4" spans="1:4" ht="24.75" customHeight="1" thickBot="1">
      <c r="A4" s="66"/>
      <c r="B4" s="142" t="s">
        <v>46</v>
      </c>
      <c r="C4" s="241" t="s">
        <v>305</v>
      </c>
      <c r="D4" s="239" t="s">
        <v>382</v>
      </c>
    </row>
    <row r="5" spans="1:4" ht="15" customHeight="1">
      <c r="A5" s="67" t="s">
        <v>0</v>
      </c>
      <c r="B5" s="60" t="s">
        <v>47</v>
      </c>
      <c r="C5" s="248">
        <f>53000+80514+200-2200+7537+5000</f>
        <v>144051</v>
      </c>
      <c r="D5" s="38">
        <f>53000+80514+200-2200+7537+5000</f>
        <v>144051</v>
      </c>
    </row>
    <row r="6" spans="1:4" ht="15" customHeight="1">
      <c r="A6" s="67" t="s">
        <v>2</v>
      </c>
      <c r="B6" s="61" t="s">
        <v>207</v>
      </c>
      <c r="C6" s="249">
        <v>29082</v>
      </c>
      <c r="D6" s="39">
        <v>29082</v>
      </c>
    </row>
    <row r="7" spans="1:4" ht="15" customHeight="1">
      <c r="A7" s="67" t="s">
        <v>3</v>
      </c>
      <c r="B7" s="61" t="s">
        <v>48</v>
      </c>
      <c r="C7" s="249">
        <v>7594</v>
      </c>
      <c r="D7" s="39">
        <v>7594</v>
      </c>
    </row>
    <row r="8" spans="1:4" ht="15" customHeight="1">
      <c r="A8" s="67" t="s">
        <v>4</v>
      </c>
      <c r="B8" s="61" t="s">
        <v>210</v>
      </c>
      <c r="C8" s="249">
        <v>105822</v>
      </c>
      <c r="D8" s="39">
        <v>105822</v>
      </c>
    </row>
    <row r="9" spans="1:4" ht="15" customHeight="1">
      <c r="A9" s="67" t="s">
        <v>5</v>
      </c>
      <c r="B9" s="62" t="s">
        <v>302</v>
      </c>
      <c r="C9" s="249">
        <v>38474</v>
      </c>
      <c r="D9" s="39">
        <v>38474</v>
      </c>
    </row>
    <row r="10" spans="1:4" ht="15" customHeight="1">
      <c r="A10" s="67" t="s">
        <v>7</v>
      </c>
      <c r="B10" s="61" t="s">
        <v>51</v>
      </c>
      <c r="C10" s="249">
        <v>111122</v>
      </c>
      <c r="D10" s="39">
        <v>111122</v>
      </c>
    </row>
    <row r="11" spans="1:4" ht="15" customHeight="1">
      <c r="A11" s="67" t="s">
        <v>9</v>
      </c>
      <c r="B11" s="63" t="s">
        <v>208</v>
      </c>
      <c r="C11" s="249">
        <v>11112</v>
      </c>
      <c r="D11" s="39">
        <v>11112</v>
      </c>
    </row>
    <row r="12" spans="1:4" ht="15" customHeight="1">
      <c r="A12" s="67" t="s">
        <v>14</v>
      </c>
      <c r="B12" s="62" t="s">
        <v>72</v>
      </c>
      <c r="C12" s="249">
        <f>461456</f>
        <v>461456</v>
      </c>
      <c r="D12" s="39">
        <f>461456</f>
        <v>461456</v>
      </c>
    </row>
    <row r="13" spans="1:4" ht="15" customHeight="1">
      <c r="A13" s="67" t="s">
        <v>10</v>
      </c>
      <c r="B13" s="62" t="s">
        <v>73</v>
      </c>
      <c r="C13" s="249">
        <v>164375</v>
      </c>
      <c r="D13" s="39">
        <v>164375</v>
      </c>
    </row>
    <row r="14" spans="1:4" ht="15" customHeight="1">
      <c r="A14" s="67" t="s">
        <v>11</v>
      </c>
      <c r="B14" s="62" t="s">
        <v>309</v>
      </c>
      <c r="C14" s="249">
        <v>99680</v>
      </c>
      <c r="D14" s="39">
        <v>99680</v>
      </c>
    </row>
    <row r="15" spans="1:4" ht="15" customHeight="1">
      <c r="A15" s="67" t="s">
        <v>15</v>
      </c>
      <c r="B15" s="62" t="s">
        <v>310</v>
      </c>
      <c r="C15" s="249">
        <v>12320</v>
      </c>
      <c r="D15" s="39">
        <v>12320</v>
      </c>
    </row>
    <row r="16" spans="1:4" ht="15" customHeight="1">
      <c r="A16" s="67" t="s">
        <v>60</v>
      </c>
      <c r="B16" s="62" t="s">
        <v>311</v>
      </c>
      <c r="C16" s="249">
        <v>17966</v>
      </c>
      <c r="D16" s="39">
        <v>17966</v>
      </c>
    </row>
    <row r="17" spans="1:4" ht="15" customHeight="1">
      <c r="A17" s="67" t="s">
        <v>61</v>
      </c>
      <c r="B17" s="62" t="s">
        <v>312</v>
      </c>
      <c r="C17" s="249">
        <v>4851</v>
      </c>
      <c r="D17" s="39">
        <v>4851</v>
      </c>
    </row>
    <row r="18" spans="1:4" ht="15" customHeight="1">
      <c r="A18" s="67" t="s">
        <v>62</v>
      </c>
      <c r="B18" s="62" t="s">
        <v>313</v>
      </c>
      <c r="C18" s="249">
        <v>390</v>
      </c>
      <c r="D18" s="39">
        <v>390</v>
      </c>
    </row>
    <row r="19" spans="1:4" ht="15" customHeight="1">
      <c r="A19" s="67" t="s">
        <v>63</v>
      </c>
      <c r="B19" s="62" t="s">
        <v>314</v>
      </c>
      <c r="C19" s="249">
        <v>26629</v>
      </c>
      <c r="D19" s="39">
        <v>26629</v>
      </c>
    </row>
    <row r="20" spans="1:4" ht="15" customHeight="1">
      <c r="A20" s="67" t="s">
        <v>64</v>
      </c>
      <c r="B20" s="62" t="s">
        <v>211</v>
      </c>
      <c r="C20" s="249">
        <v>108557</v>
      </c>
      <c r="D20" s="39">
        <v>108557</v>
      </c>
    </row>
    <row r="21" spans="1:4" ht="15" customHeight="1">
      <c r="A21" s="67" t="s">
        <v>65</v>
      </c>
      <c r="B21" s="61" t="s">
        <v>209</v>
      </c>
      <c r="C21" s="249">
        <f>6860+2200</f>
        <v>9060</v>
      </c>
      <c r="D21" s="39">
        <f>6860+2200</f>
        <v>9060</v>
      </c>
    </row>
    <row r="22" spans="1:4" ht="15" customHeight="1">
      <c r="A22" s="67" t="s">
        <v>66</v>
      </c>
      <c r="B22" s="61" t="s">
        <v>78</v>
      </c>
      <c r="C22" s="249">
        <v>70000</v>
      </c>
      <c r="D22" s="39">
        <v>70000</v>
      </c>
    </row>
    <row r="23" spans="1:4" ht="15" customHeight="1">
      <c r="A23" s="67" t="s">
        <v>68</v>
      </c>
      <c r="B23" s="61" t="s">
        <v>50</v>
      </c>
      <c r="C23" s="249">
        <v>11000</v>
      </c>
      <c r="D23" s="39">
        <v>11000</v>
      </c>
    </row>
    <row r="24" spans="1:4" ht="15" customHeight="1">
      <c r="A24" s="67" t="s">
        <v>69</v>
      </c>
      <c r="B24" s="61" t="s">
        <v>315</v>
      </c>
      <c r="C24" s="249">
        <v>457</v>
      </c>
      <c r="D24" s="39">
        <v>457</v>
      </c>
    </row>
    <row r="25" spans="1:4" ht="15" customHeight="1">
      <c r="A25" s="67" t="s">
        <v>70</v>
      </c>
      <c r="B25" s="64" t="s">
        <v>49</v>
      </c>
      <c r="C25" s="249">
        <v>100000</v>
      </c>
      <c r="D25" s="39">
        <v>100000</v>
      </c>
    </row>
    <row r="26" spans="1:4" ht="15" customHeight="1">
      <c r="A26" s="67" t="s">
        <v>107</v>
      </c>
      <c r="B26" s="61"/>
      <c r="C26" s="249"/>
      <c r="D26" s="39"/>
    </row>
    <row r="27" spans="1:4" ht="15" customHeight="1">
      <c r="A27" s="67" t="s">
        <v>108</v>
      </c>
      <c r="B27" s="61" t="s">
        <v>324</v>
      </c>
      <c r="C27" s="249">
        <v>1000</v>
      </c>
      <c r="D27" s="39">
        <v>1000</v>
      </c>
    </row>
    <row r="28" spans="1:4" ht="15" customHeight="1">
      <c r="A28" s="67" t="s">
        <v>109</v>
      </c>
      <c r="B28" s="144" t="s">
        <v>380</v>
      </c>
      <c r="C28" s="244">
        <v>20527</v>
      </c>
      <c r="D28" s="37">
        <v>20527</v>
      </c>
    </row>
    <row r="29" spans="1:4" ht="15" customHeight="1">
      <c r="A29" s="67" t="s">
        <v>110</v>
      </c>
      <c r="B29" s="61" t="s">
        <v>417</v>
      </c>
      <c r="C29" s="243">
        <f>754763-20527</f>
        <v>734236</v>
      </c>
      <c r="D29" s="28">
        <f>754763-20527+289665</f>
        <v>1023901</v>
      </c>
    </row>
    <row r="30" spans="1:4" ht="18" customHeight="1" thickBot="1">
      <c r="A30" s="335" t="s">
        <v>111</v>
      </c>
      <c r="B30" s="65" t="s">
        <v>16</v>
      </c>
      <c r="C30" s="250">
        <f>SUM(C5:C29)</f>
        <v>2289761</v>
      </c>
      <c r="D30" s="41">
        <f>SUM(D5:D29)</f>
        <v>2579426</v>
      </c>
    </row>
    <row r="31" ht="12.75">
      <c r="B31" s="29"/>
    </row>
    <row r="32" ht="12.75">
      <c r="B32" s="29"/>
    </row>
    <row r="33" spans="2:3" ht="15">
      <c r="B33" s="334" t="s">
        <v>86</v>
      </c>
      <c r="C33" s="334"/>
    </row>
    <row r="34" spans="2:3" ht="13.5" thickBot="1">
      <c r="B34" s="30"/>
      <c r="C34" s="137"/>
    </row>
    <row r="35" spans="1:4" ht="13.5" thickBot="1">
      <c r="A35" s="57"/>
      <c r="B35" s="58" t="s">
        <v>99</v>
      </c>
      <c r="C35" s="240" t="s">
        <v>100</v>
      </c>
      <c r="D35" s="59" t="s">
        <v>101</v>
      </c>
    </row>
    <row r="36" spans="1:4" ht="24.75" customHeight="1" thickBot="1">
      <c r="A36" s="66"/>
      <c r="B36" s="142" t="s">
        <v>52</v>
      </c>
      <c r="C36" s="241" t="s">
        <v>305</v>
      </c>
      <c r="D36" s="239" t="s">
        <v>382</v>
      </c>
    </row>
    <row r="37" spans="1:4" ht="15.75" customHeight="1">
      <c r="A37" s="67" t="s">
        <v>112</v>
      </c>
      <c r="B37" s="146" t="s">
        <v>376</v>
      </c>
      <c r="C37" s="242">
        <f>SUM(C38:C47)</f>
        <v>927610</v>
      </c>
      <c r="D37" s="169">
        <f>SUM(D38:D47)</f>
        <v>927610</v>
      </c>
    </row>
    <row r="38" spans="1:4" ht="15" customHeight="1">
      <c r="A38" s="67" t="s">
        <v>112</v>
      </c>
      <c r="B38" s="143" t="s">
        <v>74</v>
      </c>
      <c r="C38" s="243">
        <v>142498</v>
      </c>
      <c r="D38" s="28">
        <v>142498</v>
      </c>
    </row>
    <row r="39" spans="1:4" ht="15" customHeight="1">
      <c r="A39" s="67" t="s">
        <v>113</v>
      </c>
      <c r="B39" s="143" t="s">
        <v>75</v>
      </c>
      <c r="C39" s="243">
        <v>38474</v>
      </c>
      <c r="D39" s="28">
        <v>38474</v>
      </c>
    </row>
    <row r="40" spans="1:4" ht="15" customHeight="1">
      <c r="A40" s="67" t="s">
        <v>114</v>
      </c>
      <c r="B40" s="143" t="s">
        <v>212</v>
      </c>
      <c r="C40" s="243">
        <v>108557</v>
      </c>
      <c r="D40" s="28">
        <v>108557</v>
      </c>
    </row>
    <row r="41" spans="1:4" ht="15" customHeight="1">
      <c r="A41" s="67" t="s">
        <v>115</v>
      </c>
      <c r="B41" s="143" t="s">
        <v>77</v>
      </c>
      <c r="C41" s="243">
        <v>529105</v>
      </c>
      <c r="D41" s="28">
        <v>529105</v>
      </c>
    </row>
    <row r="42" spans="1:4" ht="15" customHeight="1">
      <c r="A42" s="67" t="s">
        <v>116</v>
      </c>
      <c r="B42" s="61" t="s">
        <v>57</v>
      </c>
      <c r="C42" s="243">
        <v>26629</v>
      </c>
      <c r="D42" s="28">
        <v>26629</v>
      </c>
    </row>
    <row r="43" spans="1:4" ht="15" customHeight="1">
      <c r="A43" s="67" t="s">
        <v>117</v>
      </c>
      <c r="B43" s="61" t="s">
        <v>318</v>
      </c>
      <c r="C43" s="243">
        <v>5500</v>
      </c>
      <c r="D43" s="28">
        <v>5500</v>
      </c>
    </row>
    <row r="44" spans="1:4" ht="15" customHeight="1">
      <c r="A44" s="67" t="s">
        <v>118</v>
      </c>
      <c r="B44" s="61" t="s">
        <v>319</v>
      </c>
      <c r="C44" s="243">
        <v>390</v>
      </c>
      <c r="D44" s="28">
        <v>390</v>
      </c>
    </row>
    <row r="45" spans="1:4" ht="15" customHeight="1">
      <c r="A45" s="67" t="s">
        <v>119</v>
      </c>
      <c r="B45" s="61" t="s">
        <v>54</v>
      </c>
      <c r="C45" s="243">
        <v>457</v>
      </c>
      <c r="D45" s="28">
        <v>457</v>
      </c>
    </row>
    <row r="46" spans="1:4" ht="15" customHeight="1">
      <c r="A46" s="67" t="s">
        <v>120</v>
      </c>
      <c r="B46" s="61" t="s">
        <v>384</v>
      </c>
      <c r="C46" s="243">
        <v>70000</v>
      </c>
      <c r="D46" s="28">
        <v>70000</v>
      </c>
    </row>
    <row r="47" spans="1:4" ht="15" customHeight="1" thickBot="1">
      <c r="A47" s="67" t="s">
        <v>121</v>
      </c>
      <c r="B47" s="144" t="s">
        <v>323</v>
      </c>
      <c r="C47" s="244">
        <v>6000</v>
      </c>
      <c r="D47" s="37">
        <v>6000</v>
      </c>
    </row>
    <row r="48" spans="1:4" ht="15" customHeight="1">
      <c r="A48" s="67" t="s">
        <v>122</v>
      </c>
      <c r="B48" s="147" t="s">
        <v>377</v>
      </c>
      <c r="C48" s="245">
        <f>SUM(C49:C56)</f>
        <v>411364</v>
      </c>
      <c r="D48" s="148">
        <f>SUM(D49:D56)</f>
        <v>411364</v>
      </c>
    </row>
    <row r="49" spans="1:4" ht="15" customHeight="1">
      <c r="A49" s="67" t="s">
        <v>123</v>
      </c>
      <c r="B49" s="143" t="s">
        <v>76</v>
      </c>
      <c r="C49" s="243">
        <v>122234</v>
      </c>
      <c r="D49" s="28">
        <v>122234</v>
      </c>
    </row>
    <row r="50" spans="1:4" ht="15" customHeight="1">
      <c r="A50" s="67" t="s">
        <v>124</v>
      </c>
      <c r="B50" s="143" t="s">
        <v>77</v>
      </c>
      <c r="C50" s="243">
        <v>96726</v>
      </c>
      <c r="D50" s="28">
        <v>96726</v>
      </c>
    </row>
    <row r="51" spans="1:4" ht="15" customHeight="1">
      <c r="A51" s="67" t="s">
        <v>125</v>
      </c>
      <c r="B51" s="143" t="s">
        <v>316</v>
      </c>
      <c r="C51" s="243">
        <v>112000</v>
      </c>
      <c r="D51" s="28">
        <v>112000</v>
      </c>
    </row>
    <row r="52" spans="1:4" ht="15" customHeight="1">
      <c r="A52" s="67" t="s">
        <v>126</v>
      </c>
      <c r="B52" s="143" t="s">
        <v>317</v>
      </c>
      <c r="C52" s="243">
        <v>22817</v>
      </c>
      <c r="D52" s="28">
        <v>22817</v>
      </c>
    </row>
    <row r="53" spans="1:4" ht="15" customHeight="1">
      <c r="A53" s="67" t="s">
        <v>127</v>
      </c>
      <c r="B53" s="61" t="s">
        <v>55</v>
      </c>
      <c r="C53" s="243">
        <v>6860</v>
      </c>
      <c r="D53" s="28">
        <v>6860</v>
      </c>
    </row>
    <row r="54" spans="1:4" ht="15" customHeight="1">
      <c r="A54" s="67" t="s">
        <v>128</v>
      </c>
      <c r="B54" s="61" t="s">
        <v>383</v>
      </c>
      <c r="C54" s="243">
        <v>30000</v>
      </c>
      <c r="D54" s="28">
        <f>30000</f>
        <v>30000</v>
      </c>
    </row>
    <row r="55" spans="1:4" ht="15" customHeight="1">
      <c r="A55" s="67" t="s">
        <v>129</v>
      </c>
      <c r="B55" s="144" t="s">
        <v>379</v>
      </c>
      <c r="C55" s="244">
        <v>20527</v>
      </c>
      <c r="D55" s="37">
        <v>20527</v>
      </c>
    </row>
    <row r="56" spans="1:4" ht="15" customHeight="1" thickBot="1">
      <c r="A56" s="67" t="s">
        <v>144</v>
      </c>
      <c r="B56" s="144" t="s">
        <v>321</v>
      </c>
      <c r="C56" s="244">
        <v>200</v>
      </c>
      <c r="D56" s="37">
        <v>200</v>
      </c>
    </row>
    <row r="57" spans="1:4" ht="15" customHeight="1">
      <c r="A57" s="67" t="s">
        <v>145</v>
      </c>
      <c r="B57" s="147" t="s">
        <v>378</v>
      </c>
      <c r="C57" s="245">
        <f>SUM(C58:C63)</f>
        <v>950787</v>
      </c>
      <c r="D57" s="148">
        <f>SUM(D58:D63)</f>
        <v>1240452</v>
      </c>
    </row>
    <row r="58" spans="1:4" ht="15" customHeight="1">
      <c r="A58" s="67" t="s">
        <v>146</v>
      </c>
      <c r="B58" s="61" t="s">
        <v>320</v>
      </c>
      <c r="C58" s="243">
        <v>49780</v>
      </c>
      <c r="D58" s="28">
        <v>49780</v>
      </c>
    </row>
    <row r="59" spans="1:4" ht="15" customHeight="1">
      <c r="A59" s="67" t="s">
        <v>147</v>
      </c>
      <c r="B59" s="61" t="s">
        <v>56</v>
      </c>
      <c r="C59" s="243">
        <v>90187</v>
      </c>
      <c r="D59" s="28">
        <v>90187</v>
      </c>
    </row>
    <row r="60" spans="1:4" ht="15" customHeight="1">
      <c r="A60" s="67" t="s">
        <v>148</v>
      </c>
      <c r="B60" s="61" t="s">
        <v>58</v>
      </c>
      <c r="C60" s="243">
        <v>1584</v>
      </c>
      <c r="D60" s="28">
        <v>1584</v>
      </c>
    </row>
    <row r="61" spans="1:4" ht="15" customHeight="1">
      <c r="A61" s="67" t="s">
        <v>149</v>
      </c>
      <c r="B61" s="61" t="s">
        <v>79</v>
      </c>
      <c r="C61" s="243">
        <v>70000</v>
      </c>
      <c r="D61" s="28">
        <v>70000</v>
      </c>
    </row>
    <row r="62" spans="1:4" ht="15" customHeight="1">
      <c r="A62" s="67" t="s">
        <v>150</v>
      </c>
      <c r="B62" s="61" t="s">
        <v>53</v>
      </c>
      <c r="C62" s="243">
        <v>5000</v>
      </c>
      <c r="D62" s="28">
        <v>5000</v>
      </c>
    </row>
    <row r="63" spans="1:4" ht="15" customHeight="1" thickBot="1">
      <c r="A63" s="67" t="s">
        <v>151</v>
      </c>
      <c r="B63" s="145" t="s">
        <v>416</v>
      </c>
      <c r="C63" s="246">
        <f>754763-20527</f>
        <v>734236</v>
      </c>
      <c r="D63" s="139">
        <f>734236+289665</f>
        <v>1023901</v>
      </c>
    </row>
    <row r="64" spans="1:4" ht="18.75" customHeight="1" thickBot="1">
      <c r="A64" s="335" t="s">
        <v>152</v>
      </c>
      <c r="B64" s="140" t="s">
        <v>16</v>
      </c>
      <c r="C64" s="247">
        <f>C37+C48+C57</f>
        <v>2289761</v>
      </c>
      <c r="D64" s="141">
        <f>D37+D48+D57</f>
        <v>2579426</v>
      </c>
    </row>
    <row r="65" ht="12.75" customHeight="1"/>
    <row r="66" ht="12.75" customHeight="1"/>
    <row r="67" ht="12.75" customHeight="1"/>
    <row r="68" ht="12.75" customHeight="1"/>
  </sheetData>
  <mergeCells count="3">
    <mergeCell ref="B1:C1"/>
    <mergeCell ref="B33:C33"/>
    <mergeCell ref="C2:E2"/>
  </mergeCells>
  <printOptions horizontalCentered="1"/>
  <pageMargins left="0.3937007874015748" right="0.3937007874015748" top="0.5905511811023623" bottom="0.1968503937007874" header="0.3937007874015748" footer="0.31496062992125984"/>
  <pageSetup fitToHeight="1" fitToWidth="1" horizontalDpi="600" verticalDpi="600" orientation="portrait" paperSize="9" scale="82" r:id="rId1"/>
  <headerFooter alignWithMargins="0">
    <oddHeader>&amp;L&amp;8 6. melléklet a ..../.....(.....)önkormányzati rendelethez&amp;C&amp;"Arial CE,Félkövér"&amp;11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cp:lastPrinted>2012-06-19T13:37:06Z</cp:lastPrinted>
  <dcterms:created xsi:type="dcterms:W3CDTF">2010-10-21T07:42:49Z</dcterms:created>
  <dcterms:modified xsi:type="dcterms:W3CDTF">2012-06-19T13:51:35Z</dcterms:modified>
  <cp:category/>
  <cp:version/>
  <cp:contentType/>
  <cp:contentStatus/>
</cp:coreProperties>
</file>