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6"/>
  </bookViews>
  <sheets>
    <sheet name="Normatíva" sheetId="1" r:id="rId1"/>
    <sheet name="Munkalap15" sheetId="2" r:id="rId2"/>
    <sheet name="Munkalap16" sheetId="3" r:id="rId3"/>
    <sheet name="Munkalap17" sheetId="4" r:id="rId4"/>
    <sheet name="Alanyi hj_" sheetId="5" r:id="rId5"/>
    <sheet name="Óvodák 08" sheetId="6" r:id="rId6"/>
    <sheet name="Somogyi 08" sheetId="7" r:id="rId7"/>
    <sheet name="Teichmann 08" sheetId="8" r:id="rId8"/>
    <sheet name="Vári E Társ 08" sheetId="9" r:id="rId9"/>
    <sheet name="Weiner L08" sheetId="10" r:id="rId10"/>
    <sheet name="BGY 08" sheetId="11" r:id="rId11"/>
    <sheet name="Rákóczi 08" sheetId="12" r:id="rId12"/>
    <sheet name="Szoc_szolg_08" sheetId="13" r:id="rId13"/>
    <sheet name="Pedag_szaksz_" sheetId="14" r:id="rId14"/>
  </sheets>
  <definedNames>
    <definedName name="_xlnm.Print_Area" localSheetId="5">'Óvodák 08'!$A$1:$K$30</definedName>
  </definedNames>
  <calcPr fullCalcOnLoad="1"/>
</workbook>
</file>

<file path=xl/sharedStrings.xml><?xml version="1.0" encoding="utf-8"?>
<sst xmlns="http://schemas.openxmlformats.org/spreadsheetml/2006/main" count="698" uniqueCount="288">
  <si>
    <t>2012. ÉVI NORMATÍVÁK</t>
  </si>
  <si>
    <t>Alanyi jogú normatívák</t>
  </si>
  <si>
    <t>Nem közoktatási(szociális) norm.</t>
  </si>
  <si>
    <t>Közoktatási normatívák</t>
  </si>
  <si>
    <t>2012. MINDÖSSZESEN</t>
  </si>
  <si>
    <t>2011. Évi eredeti normatíva</t>
  </si>
  <si>
    <t xml:space="preserve"> </t>
  </si>
  <si>
    <t xml:space="preserve"> NORMATÍVÁK</t>
  </si>
  <si>
    <t>2011.</t>
  </si>
  <si>
    <t>2012.</t>
  </si>
  <si>
    <t>Különbözet</t>
  </si>
  <si>
    <t xml:space="preserve"> MINDÖSSZESEN</t>
  </si>
  <si>
    <t>Ebből feladat átadás miatt:</t>
  </si>
  <si>
    <t xml:space="preserve">Tűzoltóság </t>
  </si>
  <si>
    <t>Zrínyi téri óvoda</t>
  </si>
  <si>
    <t>Várday Tagintézmény</t>
  </si>
  <si>
    <t>Tényleges normatív csökkenés:</t>
  </si>
  <si>
    <t>INTÉZMÉNY</t>
  </si>
  <si>
    <t>Normatíva összesen</t>
  </si>
  <si>
    <t>Csillag-közi Társulási Óvoda</t>
  </si>
  <si>
    <t>Somogyi R. Ált. Isk.</t>
  </si>
  <si>
    <t>Teichman V. Ált. Isk.</t>
  </si>
  <si>
    <t>Vári Emil Társulási Ált. Isk.</t>
  </si>
  <si>
    <t>Weiner Leó Zeneiskola</t>
  </si>
  <si>
    <t>Pedagógiai Szakszolgálat</t>
  </si>
  <si>
    <t>Bessenyei György Gimnázium</t>
  </si>
  <si>
    <t>II. Rákóczi Ferenc Szakközépiskola</t>
  </si>
  <si>
    <t>MINDÖSSZESEN</t>
  </si>
  <si>
    <t>Szociális normatívák</t>
  </si>
  <si>
    <t>Összesen:</t>
  </si>
  <si>
    <t>Kistérségi Szociális Szolgálat</t>
  </si>
  <si>
    <t>Bölcsőde és Rehab. Napközi Otthon</t>
  </si>
  <si>
    <t>Egyéb, alanyi állami hozzájárulások</t>
  </si>
  <si>
    <t>1.a. Települési ig. komm. feladatok,sport,kulturális</t>
  </si>
  <si>
    <t>2.a. Körzeti igazgatási feladatok</t>
  </si>
  <si>
    <t>8. Üdülőhelyi feladatok</t>
  </si>
  <si>
    <t>6. Lakossági foly. hulladék ártalmatlanítása</t>
  </si>
  <si>
    <t>5. Lakott külterülettel kapcs. feladatok</t>
  </si>
  <si>
    <t>10. Pénzbeli és természetbeni szociális és gyermekjóléti ellátások</t>
  </si>
  <si>
    <t>IV. Helyi tűzoltóság támogatása</t>
  </si>
  <si>
    <t>SZJA bevétel</t>
  </si>
  <si>
    <t>SZJA 8%-a</t>
  </si>
  <si>
    <t>Kieg. adóerőkép.alapján</t>
  </si>
  <si>
    <t>Összesen</t>
  </si>
  <si>
    <t>MINDÖSSZESEN:</t>
  </si>
  <si>
    <t>EGYÉB, ALANYI  ÁLLAMI HOZZÁJÁRULÁSOK</t>
  </si>
  <si>
    <t>3.számú melléklet</t>
  </si>
  <si>
    <t>Normatíva</t>
  </si>
  <si>
    <t>Lakosság létszám</t>
  </si>
  <si>
    <t>Szorzó</t>
  </si>
  <si>
    <t>Okmányirodai alaphj.</t>
  </si>
  <si>
    <t>Okmányiroda műk.</t>
  </si>
  <si>
    <t>Gyámügyi feladat</t>
  </si>
  <si>
    <t>Építésügyi feladat</t>
  </si>
  <si>
    <t>56Ft/fő</t>
  </si>
  <si>
    <t>kieg.norm építésügy</t>
  </si>
  <si>
    <t>ÖSSZESEN</t>
  </si>
  <si>
    <t>5. Lakott külterület,telep. Hulladék</t>
  </si>
  <si>
    <t>Ellátási körzet lakosságának létszáma</t>
  </si>
  <si>
    <t>Beszedett IFA</t>
  </si>
  <si>
    <t>6. Szoc. és gyermekjóléti alapszolg. feladatok</t>
  </si>
  <si>
    <t>Szociális étkeztetés</t>
  </si>
  <si>
    <t>Házi segítségnyújtás</t>
  </si>
  <si>
    <t>Jelzőrendsz. h.s.</t>
  </si>
  <si>
    <t>Tám. szolg. műk.</t>
  </si>
  <si>
    <t>Családsegítés</t>
  </si>
  <si>
    <t>Gyermekjóléti szolg.</t>
  </si>
  <si>
    <t>10. SZJA bevétel</t>
  </si>
  <si>
    <t>2011.évi</t>
  </si>
  <si>
    <t>12. Lakossági foly. hulladék ártalmatlanítása</t>
  </si>
  <si>
    <t>Mennyiség m3</t>
  </si>
  <si>
    <t>Csillag-közi Központi Tárulási Óvoda</t>
  </si>
  <si>
    <t>Jogcím</t>
  </si>
  <si>
    <t>Létszám (tény-becsült)</t>
  </si>
  <si>
    <t>Csop/oszt</t>
  </si>
  <si>
    <t>Muatató</t>
  </si>
  <si>
    <t>Tanít.egyh</t>
  </si>
  <si>
    <t>Telj.</t>
  </si>
  <si>
    <t>átlaglétsz</t>
  </si>
  <si>
    <t>(Fő)</t>
  </si>
  <si>
    <t>(Ft.)</t>
  </si>
  <si>
    <t>Teh</t>
  </si>
  <si>
    <t>mutató</t>
  </si>
  <si>
    <t>Ft.</t>
  </si>
  <si>
    <t>15.2</t>
  </si>
  <si>
    <t>1-3  nevelési év</t>
  </si>
  <si>
    <t>15.a</t>
  </si>
  <si>
    <t>1-3 nevelési év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</si>
  <si>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</si>
  <si>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16.bab.</t>
  </si>
  <si>
    <t>Gyógyped. nev.visszahely.</t>
  </si>
  <si>
    <t>16.b.a.c</t>
  </si>
  <si>
    <t xml:space="preserve">Testi, érzéksz. halm. fogy </t>
  </si>
  <si>
    <t>16.bac</t>
  </si>
  <si>
    <t>16.b.a.e</t>
  </si>
  <si>
    <t>Megismerő funk. Rendell.</t>
  </si>
  <si>
    <t>16.g.b</t>
  </si>
  <si>
    <t>Társulásba járó óvodások</t>
  </si>
  <si>
    <t>I. 4.</t>
  </si>
  <si>
    <t>Kedvezményes étkeztetés</t>
  </si>
  <si>
    <t xml:space="preserve">   rendszeres gyermekvéd.</t>
  </si>
  <si>
    <t xml:space="preserve">   három v. több gyermekes</t>
  </si>
  <si>
    <t xml:space="preserve">   tartósan beteg, fogy.</t>
  </si>
  <si>
    <t>I.2.</t>
  </si>
  <si>
    <t>Pedagógus továbbképzés</t>
  </si>
  <si>
    <t>2011. évi normatíva</t>
  </si>
  <si>
    <t>Somogyi Rezső Általános Iskola</t>
  </si>
  <si>
    <t xml:space="preserve">15.b </t>
  </si>
  <si>
    <t>Iskolai oktatás 1.-2. évfolyam</t>
  </si>
  <si>
    <t>Iskolai oktatás 3.évfolyam</t>
  </si>
  <si>
    <t>Iskolai oktatás 4. évfolyam</t>
  </si>
  <si>
    <t>Iskolai oktatás 5-6. évfolyam</t>
  </si>
  <si>
    <t>Iskolai oktatás 7-8. évfolyam</t>
  </si>
  <si>
    <t xml:space="preserve">15.g </t>
  </si>
  <si>
    <t>Napközi 1-4. évfolyam</t>
  </si>
  <si>
    <t>Napközi 5-8. évfolyam</t>
  </si>
  <si>
    <t>Iskolaotthonos 1-4. évfolyam</t>
  </si>
  <si>
    <t>Napközi 1-4. évfolyamon</t>
  </si>
  <si>
    <t>Napközi 5-8. évfolyamon</t>
  </si>
  <si>
    <t>15.g (3)</t>
  </si>
  <si>
    <t>Iskolaotthonos 1-2. évfolyam</t>
  </si>
  <si>
    <t>I .  5.</t>
  </si>
  <si>
    <t>Szakmai informatikai fejlsztés</t>
  </si>
  <si>
    <t>16.b.a..c.</t>
  </si>
  <si>
    <t>Testi, érzékszervi, ért. fogyat.</t>
  </si>
  <si>
    <t>16.b.a.d</t>
  </si>
  <si>
    <t>Beszédf.enyhe ért.fogy.org.</t>
  </si>
  <si>
    <t>16.b.a..e.</t>
  </si>
  <si>
    <t>Megismerő funkció</t>
  </si>
  <si>
    <t>16.b.a.e.</t>
  </si>
  <si>
    <t>I .4.a.</t>
  </si>
  <si>
    <t>Kedvezményes isk.étkeztetés</t>
  </si>
  <si>
    <t xml:space="preserve">  rendszeres gyermekvéd.</t>
  </si>
  <si>
    <t xml:space="preserve">  három és többgyermekes</t>
  </si>
  <si>
    <t xml:space="preserve">  tartósan beteg v. fogyatékos</t>
  </si>
  <si>
    <t>I. 4. b</t>
  </si>
  <si>
    <t>Tankönyvtámogatás ingyenes</t>
  </si>
  <si>
    <t>I.3. a.</t>
  </si>
  <si>
    <t>Osztályfőnöki pótlék kieg.</t>
  </si>
  <si>
    <t>I.3  a.</t>
  </si>
  <si>
    <t>2011. évi</t>
  </si>
  <si>
    <t>Teichmann Vilmos Általános Iskola</t>
  </si>
  <si>
    <t>16.b.a.c.</t>
  </si>
  <si>
    <t>16.b.a.d.</t>
  </si>
  <si>
    <t>Megismerő funkció, vis.fejl.</t>
  </si>
  <si>
    <t>I . 5</t>
  </si>
  <si>
    <t>szakmai informatikai fejlsztés</t>
  </si>
  <si>
    <t>I.4.a</t>
  </si>
  <si>
    <t>Kedvezményes iskolai étkezt.</t>
  </si>
  <si>
    <t>I.4.b</t>
  </si>
  <si>
    <t>I.3.a.</t>
  </si>
  <si>
    <t>Osztályfőnöki pótlék</t>
  </si>
  <si>
    <t>Vári Emil Társulási Általános Iskola</t>
  </si>
  <si>
    <t>Mut.</t>
  </si>
  <si>
    <t>Norm.</t>
  </si>
  <si>
    <t>15.b</t>
  </si>
  <si>
    <t>16.2.1.b</t>
  </si>
  <si>
    <t>Gyógyped.nev. visszahelyez.</t>
  </si>
  <si>
    <t>16.2.1.c</t>
  </si>
  <si>
    <t>16.bac.</t>
  </si>
  <si>
    <t>16.2.1.d.</t>
  </si>
  <si>
    <t>16.bad.</t>
  </si>
  <si>
    <t>16.2.1.e.</t>
  </si>
  <si>
    <t>16.bae.</t>
  </si>
  <si>
    <t>I. 5.</t>
  </si>
  <si>
    <t>16.G.</t>
  </si>
  <si>
    <t>Társulás iskolába bejáró</t>
  </si>
  <si>
    <t>I.4.B.</t>
  </si>
  <si>
    <t>I.3.a</t>
  </si>
  <si>
    <t>I.3.b</t>
  </si>
  <si>
    <t>Gyógypedagógiai pótlék kieg.</t>
  </si>
  <si>
    <t>Weiner Leo Zene és Műv. Alapfokú Iskola</t>
  </si>
  <si>
    <t>15.e.(1)</t>
  </si>
  <si>
    <t>Minősített zeneművészeti ág</t>
  </si>
  <si>
    <t>16.e.(5)</t>
  </si>
  <si>
    <t>Minősített művészeti ág</t>
  </si>
  <si>
    <t>16.5.2a</t>
  </si>
  <si>
    <t>16.5.2b</t>
  </si>
  <si>
    <t>15.e.(1.)2.</t>
  </si>
  <si>
    <t>15.e.(2)2.</t>
  </si>
  <si>
    <t>15.e.(2)</t>
  </si>
  <si>
    <t>15.e.(5)</t>
  </si>
  <si>
    <t>8.m.I.2</t>
  </si>
  <si>
    <t>15.c (2)</t>
  </si>
  <si>
    <t>Iskolai oktatás 9.-10 évfolyam</t>
  </si>
  <si>
    <t>15.c (6)</t>
  </si>
  <si>
    <t>Iskolai oktatás11. évfolyam</t>
  </si>
  <si>
    <t>15.C</t>
  </si>
  <si>
    <t>ISKolai oktatás 12.évfolyam</t>
  </si>
  <si>
    <t>15.C.(9)</t>
  </si>
  <si>
    <t>ISKolai oktatás 13.évfolyam</t>
  </si>
  <si>
    <t>Iskolai oktatás 9-10. évfolyam</t>
  </si>
  <si>
    <t>15.C( 6 )</t>
  </si>
  <si>
    <t>Iskolai oktatás 11-13.évfolyam</t>
  </si>
  <si>
    <t>15.d (5)1.</t>
  </si>
  <si>
    <t>Szakközép elméleti sz, log</t>
  </si>
  <si>
    <t>15.d (2)</t>
  </si>
  <si>
    <t>Szakközép elméleti logisztika</t>
  </si>
  <si>
    <t>15.f (4)</t>
  </si>
  <si>
    <t>Kollégiumi oktatás(gimn.)</t>
  </si>
  <si>
    <t>15.f (5)</t>
  </si>
  <si>
    <t>Kollégiumi oktatás(szakközép)</t>
  </si>
  <si>
    <t>Kollégiumi oktatás</t>
  </si>
  <si>
    <t>16.1.2</t>
  </si>
  <si>
    <t>Szakképzés</t>
  </si>
  <si>
    <t>16.4.(12)</t>
  </si>
  <si>
    <t>Nyelvi előkészítő</t>
  </si>
  <si>
    <t>16.d.(12.)</t>
  </si>
  <si>
    <t>16.5.1.b</t>
  </si>
  <si>
    <t>AJ ped. Program Isk</t>
  </si>
  <si>
    <t>16.5.1.c.</t>
  </si>
  <si>
    <t>Kollégium AJ</t>
  </si>
  <si>
    <t>16.5.c</t>
  </si>
  <si>
    <t>AJ ped program kollégium</t>
  </si>
  <si>
    <t>16.6.1</t>
  </si>
  <si>
    <t>Bejáró</t>
  </si>
  <si>
    <t>16.eb.</t>
  </si>
  <si>
    <t>Középszíntű érettségi vizsga</t>
  </si>
  <si>
    <t>Szakmai vizsga</t>
  </si>
  <si>
    <t>I. 5</t>
  </si>
  <si>
    <t>Szakmai,informatikai fejlesztés</t>
  </si>
  <si>
    <t>17.1. a.</t>
  </si>
  <si>
    <t>Kedv. Étkeztetés</t>
  </si>
  <si>
    <t>17.a(8),(17)</t>
  </si>
  <si>
    <t>17.a(9),(18)</t>
  </si>
  <si>
    <t>17.a(10),(19)</t>
  </si>
  <si>
    <t>17.3.1</t>
  </si>
  <si>
    <t>kollégium lakhatási feltételek</t>
  </si>
  <si>
    <t>Kollégium lakh. feltételek</t>
  </si>
  <si>
    <t>17.2.b.</t>
  </si>
  <si>
    <t>Ingyenes tankönyvtámogatás</t>
  </si>
  <si>
    <t>I.2.1.</t>
  </si>
  <si>
    <r>
      <t>Összesen</t>
    </r>
    <r>
      <rPr>
        <sz val="8"/>
        <rFont val="Arial CE"/>
        <family val="2"/>
      </rPr>
      <t>:</t>
    </r>
  </si>
  <si>
    <t>Rákóczi Ferenc Szakközép és Szakiskola</t>
  </si>
  <si>
    <t xml:space="preserve">15.c </t>
  </si>
  <si>
    <t>15.C.</t>
  </si>
  <si>
    <t>15.d</t>
  </si>
  <si>
    <t xml:space="preserve">Szakközép elméleti </t>
  </si>
  <si>
    <t>Szakmai gyakorlati képzés</t>
  </si>
  <si>
    <t>16.a.b.a.</t>
  </si>
  <si>
    <t>16.a.b.b</t>
  </si>
  <si>
    <t>16.ab.b.</t>
  </si>
  <si>
    <t>szakképzés</t>
  </si>
  <si>
    <t>16.abc.</t>
  </si>
  <si>
    <t>16.abd.</t>
  </si>
  <si>
    <t>Tanulószerződés</t>
  </si>
  <si>
    <t>16.f.</t>
  </si>
  <si>
    <t>I. 4.B.</t>
  </si>
  <si>
    <t>Ingyenes tankönyv</t>
  </si>
  <si>
    <t>Pedagógiai szakv., továbbk.</t>
  </si>
  <si>
    <t>Pedagógiai szakv. Továbbk.</t>
  </si>
  <si>
    <t>Kistérségi Szociális szolgálat</t>
  </si>
  <si>
    <t>11</t>
  </si>
  <si>
    <t>Szociális és gyermj. Alapsz.</t>
  </si>
  <si>
    <t>Általános feladatok</t>
  </si>
  <si>
    <t>11.ab</t>
  </si>
  <si>
    <t>Gyermekjóléti szolg</t>
  </si>
  <si>
    <t>11.c</t>
  </si>
  <si>
    <t xml:space="preserve">Szociális étkeztetés </t>
  </si>
  <si>
    <t>11.d</t>
  </si>
  <si>
    <t>Házi segitségnyujtás</t>
  </si>
  <si>
    <t>11.g</t>
  </si>
  <si>
    <t xml:space="preserve"> Fogyat. személyek nappali e.</t>
  </si>
  <si>
    <t>11.e</t>
  </si>
  <si>
    <t>Jelzőrendszeres házi segíts</t>
  </si>
  <si>
    <t>11.f.1</t>
  </si>
  <si>
    <t>Időskorúak nappali ellátása</t>
  </si>
  <si>
    <t>12.bca</t>
  </si>
  <si>
    <t>Időskorúak bentl. ellátása</t>
  </si>
  <si>
    <t>13.</t>
  </si>
  <si>
    <t>Hajléktalanok átm.int.</t>
  </si>
  <si>
    <t>14.a</t>
  </si>
  <si>
    <t>Bölcsődei ellátás</t>
  </si>
  <si>
    <t>14.b</t>
  </si>
  <si>
    <t>Családi napközi</t>
  </si>
  <si>
    <t>14.c</t>
  </si>
  <si>
    <t>Ingyenes étkeztetés</t>
  </si>
  <si>
    <t>II.2.</t>
  </si>
  <si>
    <t>Szociális továbbképzés</t>
  </si>
  <si>
    <t>16.bcb</t>
  </si>
  <si>
    <t>Egyéni fejlesztő felkészítés</t>
  </si>
  <si>
    <t>14.c.2.</t>
  </si>
  <si>
    <t>Fogyatékos szem.kedv.étkezt.</t>
  </si>
  <si>
    <t>összesen:</t>
  </si>
  <si>
    <t>2011. évi-Szoc.szolg.</t>
  </si>
  <si>
    <t>I.1.</t>
  </si>
  <si>
    <t>2010/2011 tanév</t>
  </si>
  <si>
    <t>2011/2012 tanév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</si>
</sst>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"/>
    <numFmt numFmtId="167" formatCode="#,###"/>
    <numFmt numFmtId="168" formatCode="#,##0.0"/>
    <numFmt numFmtId="169" formatCode="YYYY\-MM\-DD"/>
    <numFmt numFmtId="170" formatCode="@"/>
    <numFmt numFmtId="171" formatCode="0"/>
    <numFmt numFmtId="172" formatCode="#,##0.0000"/>
  </numFmts>
  <fonts count="19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b/>
      <sz val="11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1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4" fontId="3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4" fontId="6" fillId="0" borderId="3" xfId="0" applyFont="1" applyFill="1" applyBorder="1" applyAlignment="1">
      <alignment/>
    </xf>
    <xf numFmtId="166" fontId="7" fillId="0" borderId="1" xfId="0" applyNumberFormat="1" applyFont="1" applyBorder="1" applyAlignment="1">
      <alignment/>
    </xf>
    <xf numFmtId="164" fontId="3" fillId="0" borderId="4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3" fillId="0" borderId="4" xfId="0" applyFont="1" applyBorder="1" applyAlignment="1">
      <alignment/>
    </xf>
    <xf numFmtId="166" fontId="0" fillId="0" borderId="1" xfId="0" applyNumberFormat="1" applyBorder="1" applyAlignment="1">
      <alignment/>
    </xf>
    <xf numFmtId="164" fontId="3" fillId="4" borderId="4" xfId="0" applyFont="1" applyFill="1" applyBorder="1" applyAlignment="1">
      <alignment/>
    </xf>
    <xf numFmtId="166" fontId="3" fillId="4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9" fillId="0" borderId="0" xfId="0" applyFont="1" applyBorder="1" applyAlignment="1">
      <alignment horizontal="left"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5" fillId="0" borderId="6" xfId="0" applyFont="1" applyBorder="1" applyAlignment="1">
      <alignment/>
    </xf>
    <xf numFmtId="164" fontId="10" fillId="0" borderId="0" xfId="0" applyFont="1" applyAlignment="1">
      <alignment/>
    </xf>
    <xf numFmtId="166" fontId="10" fillId="5" borderId="0" xfId="0" applyNumberFormat="1" applyFont="1" applyFill="1" applyAlignment="1">
      <alignment/>
    </xf>
    <xf numFmtId="164" fontId="11" fillId="0" borderId="4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wrapText="1"/>
    </xf>
    <xf numFmtId="164" fontId="11" fillId="0" borderId="7" xfId="0" applyFont="1" applyBorder="1" applyAlignment="1">
      <alignment horizontal="center" wrapText="1"/>
    </xf>
    <xf numFmtId="164" fontId="11" fillId="0" borderId="8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/>
    </xf>
    <xf numFmtId="166" fontId="11" fillId="0" borderId="4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6" fontId="0" fillId="0" borderId="8" xfId="0" applyNumberFormat="1" applyBorder="1" applyAlignment="1">
      <alignment horizontal="right"/>
    </xf>
    <xf numFmtId="164" fontId="11" fillId="4" borderId="1" xfId="0" applyFont="1" applyFill="1" applyBorder="1" applyAlignment="1">
      <alignment/>
    </xf>
    <xf numFmtId="166" fontId="11" fillId="4" borderId="4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4" fontId="12" fillId="0" borderId="1" xfId="0" applyFont="1" applyBorder="1" applyAlignment="1">
      <alignment horizontal="center" vertical="center"/>
    </xf>
    <xf numFmtId="164" fontId="11" fillId="6" borderId="1" xfId="0" applyFont="1" applyFill="1" applyBorder="1" applyAlignment="1">
      <alignment/>
    </xf>
    <xf numFmtId="166" fontId="11" fillId="6" borderId="1" xfId="0" applyNumberFormat="1" applyFont="1" applyFill="1" applyBorder="1" applyAlignment="1">
      <alignment/>
    </xf>
    <xf numFmtId="166" fontId="11" fillId="6" borderId="9" xfId="0" applyNumberFormat="1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6" fontId="0" fillId="0" borderId="9" xfId="0" applyNumberFormat="1" applyBorder="1" applyAlignment="1">
      <alignment/>
    </xf>
    <xf numFmtId="164" fontId="0" fillId="0" borderId="1" xfId="0" applyFont="1" applyBorder="1" applyAlignment="1">
      <alignment horizontal="left"/>
    </xf>
    <xf numFmtId="164" fontId="0" fillId="6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6" fontId="13" fillId="0" borderId="9" xfId="0" applyNumberFormat="1" applyFont="1" applyBorder="1" applyAlignment="1">
      <alignment horizontal="left"/>
    </xf>
    <xf numFmtId="166" fontId="13" fillId="0" borderId="9" xfId="0" applyNumberFormat="1" applyFont="1" applyBorder="1" applyAlignment="1">
      <alignment/>
    </xf>
    <xf numFmtId="166" fontId="13" fillId="0" borderId="2" xfId="0" applyNumberFormat="1" applyFont="1" applyBorder="1" applyAlignment="1">
      <alignment horizontal="left"/>
    </xf>
    <xf numFmtId="166" fontId="13" fillId="0" borderId="2" xfId="0" applyNumberFormat="1" applyFont="1" applyBorder="1" applyAlignment="1">
      <alignment/>
    </xf>
    <xf numFmtId="166" fontId="0" fillId="6" borderId="1" xfId="0" applyNumberFormat="1" applyFont="1" applyFill="1" applyBorder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Font="1" applyBorder="1" applyAlignment="1">
      <alignment/>
    </xf>
    <xf numFmtId="166" fontId="11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vertical="center"/>
    </xf>
    <xf numFmtId="164" fontId="1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11" fillId="0" borderId="1" xfId="0" applyNumberFormat="1" applyFont="1" applyBorder="1" applyAlignment="1">
      <alignment/>
    </xf>
    <xf numFmtId="164" fontId="0" fillId="0" borderId="10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Alignment="1">
      <alignment/>
    </xf>
    <xf numFmtId="164" fontId="0" fillId="0" borderId="10" xfId="0" applyBorder="1" applyAlignment="1">
      <alignment/>
    </xf>
    <xf numFmtId="166" fontId="11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0" borderId="9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10" fillId="3" borderId="11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/>
    </xf>
    <xf numFmtId="164" fontId="11" fillId="0" borderId="0" xfId="0" applyFont="1" applyAlignment="1">
      <alignment/>
    </xf>
    <xf numFmtId="164" fontId="15" fillId="0" borderId="1" xfId="0" applyFont="1" applyBorder="1" applyAlignment="1">
      <alignment horizontal="center"/>
    </xf>
    <xf numFmtId="169" fontId="15" fillId="0" borderId="1" xfId="0" applyNumberFormat="1" applyFont="1" applyBorder="1" applyAlignment="1">
      <alignment horizontal="center"/>
    </xf>
    <xf numFmtId="169" fontId="15" fillId="3" borderId="1" xfId="0" applyNumberFormat="1" applyFont="1" applyFill="1" applyBorder="1" applyAlignment="1">
      <alignment horizontal="center"/>
    </xf>
    <xf numFmtId="164" fontId="16" fillId="0" borderId="9" xfId="0" applyFont="1" applyBorder="1" applyAlignment="1">
      <alignment/>
    </xf>
    <xf numFmtId="164" fontId="16" fillId="3" borderId="9" xfId="0" applyFont="1" applyFill="1" applyBorder="1" applyAlignment="1">
      <alignment/>
    </xf>
    <xf numFmtId="166" fontId="16" fillId="0" borderId="1" xfId="0" applyNumberFormat="1" applyFont="1" applyBorder="1" applyAlignment="1">
      <alignment/>
    </xf>
    <xf numFmtId="170" fontId="16" fillId="0" borderId="1" xfId="0" applyNumberFormat="1" applyFont="1" applyBorder="1" applyAlignment="1">
      <alignment/>
    </xf>
    <xf numFmtId="164" fontId="16" fillId="0" borderId="1" xfId="0" applyFont="1" applyBorder="1" applyAlignment="1">
      <alignment/>
    </xf>
    <xf numFmtId="166" fontId="16" fillId="3" borderId="1" xfId="0" applyNumberFormat="1" applyFont="1" applyFill="1" applyBorder="1" applyAlignment="1">
      <alignment/>
    </xf>
    <xf numFmtId="168" fontId="16" fillId="0" borderId="1" xfId="0" applyNumberFormat="1" applyFont="1" applyBorder="1" applyAlignment="1">
      <alignment/>
    </xf>
    <xf numFmtId="166" fontId="16" fillId="0" borderId="0" xfId="0" applyNumberFormat="1" applyFont="1" applyAlignment="1">
      <alignment/>
    </xf>
    <xf numFmtId="166" fontId="17" fillId="0" borderId="1" xfId="0" applyNumberFormat="1" applyFont="1" applyBorder="1" applyAlignment="1">
      <alignment/>
    </xf>
    <xf numFmtId="164" fontId="16" fillId="0" borderId="2" xfId="0" applyFont="1" applyBorder="1" applyAlignment="1">
      <alignment/>
    </xf>
    <xf numFmtId="166" fontId="16" fillId="0" borderId="2" xfId="0" applyNumberFormat="1" applyFont="1" applyBorder="1" applyAlignment="1">
      <alignment/>
    </xf>
    <xf numFmtId="166" fontId="16" fillId="3" borderId="2" xfId="0" applyNumberFormat="1" applyFont="1" applyFill="1" applyBorder="1" applyAlignment="1">
      <alignment/>
    </xf>
    <xf numFmtId="170" fontId="18" fillId="0" borderId="11" xfId="0" applyNumberFormat="1" applyFont="1" applyBorder="1" applyAlignment="1">
      <alignment/>
    </xf>
    <xf numFmtId="164" fontId="18" fillId="0" borderId="11" xfId="0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6" fillId="3" borderId="11" xfId="0" applyNumberFormat="1" applyFont="1" applyFill="1" applyBorder="1" applyAlignment="1">
      <alignment/>
    </xf>
    <xf numFmtId="164" fontId="16" fillId="0" borderId="11" xfId="0" applyFont="1" applyBorder="1" applyAlignment="1">
      <alignment/>
    </xf>
    <xf numFmtId="166" fontId="15" fillId="0" borderId="12" xfId="0" applyNumberFormat="1" applyFont="1" applyBorder="1" applyAlignment="1">
      <alignment/>
    </xf>
    <xf numFmtId="164" fontId="15" fillId="0" borderId="1" xfId="0" applyFont="1" applyBorder="1" applyAlignment="1">
      <alignment/>
    </xf>
    <xf numFmtId="166" fontId="15" fillId="0" borderId="1" xfId="0" applyNumberFormat="1" applyFont="1" applyBorder="1" applyAlignment="1">
      <alignment/>
    </xf>
    <xf numFmtId="164" fontId="15" fillId="0" borderId="4" xfId="0" applyFont="1" applyBorder="1" applyAlignment="1">
      <alignment/>
    </xf>
    <xf numFmtId="164" fontId="16" fillId="0" borderId="4" xfId="0" applyFont="1" applyBorder="1" applyAlignment="1">
      <alignment/>
    </xf>
    <xf numFmtId="164" fontId="0" fillId="0" borderId="4" xfId="0" applyBorder="1" applyAlignment="1">
      <alignment/>
    </xf>
    <xf numFmtId="166" fontId="16" fillId="0" borderId="3" xfId="0" applyNumberFormat="1" applyFont="1" applyFill="1" applyBorder="1" applyAlignment="1">
      <alignment/>
    </xf>
    <xf numFmtId="166" fontId="16" fillId="0" borderId="8" xfId="0" applyNumberFormat="1" applyFont="1" applyBorder="1" applyAlignment="1">
      <alignment/>
    </xf>
    <xf numFmtId="170" fontId="16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6" fontId="15" fillId="0" borderId="2" xfId="0" applyNumberFormat="1" applyFont="1" applyBorder="1" applyAlignment="1">
      <alignment/>
    </xf>
    <xf numFmtId="164" fontId="16" fillId="0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9" fontId="16" fillId="0" borderId="1" xfId="0" applyNumberFormat="1" applyFont="1" applyBorder="1" applyAlignment="1">
      <alignment/>
    </xf>
    <xf numFmtId="166" fontId="16" fillId="0" borderId="1" xfId="0" applyNumberFormat="1" applyFont="1" applyBorder="1" applyAlignment="1">
      <alignment horizontal="right"/>
    </xf>
    <xf numFmtId="166" fontId="11" fillId="0" borderId="0" xfId="0" applyNumberFormat="1" applyFont="1" applyAlignment="1">
      <alignment/>
    </xf>
    <xf numFmtId="164" fontId="0" fillId="0" borderId="11" xfId="0" applyBorder="1" applyAlignment="1">
      <alignment/>
    </xf>
    <xf numFmtId="169" fontId="15" fillId="7" borderId="1" xfId="0" applyNumberFormat="1" applyFont="1" applyFill="1" applyBorder="1" applyAlignment="1">
      <alignment horizontal="center"/>
    </xf>
    <xf numFmtId="164" fontId="16" fillId="7" borderId="9" xfId="0" applyFont="1" applyFill="1" applyBorder="1" applyAlignment="1">
      <alignment/>
    </xf>
    <xf numFmtId="165" fontId="16" fillId="0" borderId="9" xfId="0" applyNumberFormat="1" applyFont="1" applyBorder="1" applyAlignment="1">
      <alignment/>
    </xf>
    <xf numFmtId="171" fontId="16" fillId="0" borderId="9" xfId="0" applyNumberFormat="1" applyFont="1" applyBorder="1" applyAlignment="1">
      <alignment/>
    </xf>
    <xf numFmtId="166" fontId="16" fillId="0" borderId="9" xfId="0" applyNumberFormat="1" applyFont="1" applyBorder="1" applyAlignment="1">
      <alignment/>
    </xf>
    <xf numFmtId="166" fontId="16" fillId="7" borderId="1" xfId="0" applyNumberFormat="1" applyFont="1" applyFill="1" applyBorder="1" applyAlignment="1">
      <alignment/>
    </xf>
    <xf numFmtId="166" fontId="16" fillId="2" borderId="1" xfId="0" applyNumberFormat="1" applyFont="1" applyFill="1" applyBorder="1" applyAlignment="1">
      <alignment/>
    </xf>
    <xf numFmtId="166" fontId="16" fillId="7" borderId="2" xfId="0" applyNumberFormat="1" applyFont="1" applyFill="1" applyBorder="1" applyAlignment="1">
      <alignment/>
    </xf>
    <xf numFmtId="168" fontId="16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/>
    </xf>
    <xf numFmtId="164" fontId="15" fillId="0" borderId="1" xfId="0" applyFont="1" applyFill="1" applyBorder="1" applyAlignment="1">
      <alignment/>
    </xf>
    <xf numFmtId="164" fontId="15" fillId="3" borderId="1" xfId="0" applyFont="1" applyFill="1" applyBorder="1" applyAlignment="1">
      <alignment horizontal="center"/>
    </xf>
    <xf numFmtId="172" fontId="16" fillId="3" borderId="1" xfId="0" applyNumberFormat="1" applyFont="1" applyFill="1" applyBorder="1" applyAlignment="1">
      <alignment/>
    </xf>
    <xf numFmtId="164" fontId="16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zoomScale="90" zoomScaleNormal="90" zoomScaleSheetLayoutView="100" workbookViewId="0" topLeftCell="A1">
      <pane ySplit="65535" topLeftCell="A1" activePane="topLeft" state="split"/>
      <selection pane="topLeft" activeCell="B22" sqref="B22"/>
      <selection pane="bottomLeft" activeCell="A1" sqref="A1"/>
    </sheetView>
  </sheetViews>
  <sheetFormatPr defaultColWidth="9.00390625" defaultRowHeight="12.75"/>
  <cols>
    <col min="2" max="2" width="46.125" style="0" customWidth="1"/>
    <col min="3" max="3" width="31.25390625" style="0" customWidth="1"/>
    <col min="4" max="5" width="17.75390625" style="0" customWidth="1"/>
    <col min="6" max="6" width="19.00390625" style="0" customWidth="1"/>
  </cols>
  <sheetData>
    <row r="1" ht="12" customHeight="1"/>
    <row r="2" spans="2:3" ht="39" customHeight="1">
      <c r="B2" s="1" t="s">
        <v>0</v>
      </c>
      <c r="C2" s="1"/>
    </row>
    <row r="3" spans="2:3" ht="27.75" customHeight="1">
      <c r="B3" s="2" t="s">
        <v>1</v>
      </c>
      <c r="C3" s="3">
        <f>'Alanyi hj_'!E75</f>
        <v>481103160</v>
      </c>
    </row>
    <row r="4" spans="2:3" ht="9.75" customHeight="1">
      <c r="B4" s="2"/>
      <c r="C4" s="3"/>
    </row>
    <row r="5" spans="2:3" ht="26.25" customHeight="1">
      <c r="B5" s="2" t="s">
        <v>2</v>
      </c>
      <c r="C5" s="3" t="e">
        <f>#REF!+#REF!</f>
        <v>#REF!</v>
      </c>
    </row>
    <row r="6" spans="2:3" ht="11.25" customHeight="1">
      <c r="B6" s="2"/>
      <c r="C6" s="3"/>
    </row>
    <row r="7" spans="2:6" ht="28.5" customHeight="1">
      <c r="B7" s="2" t="s">
        <v>3</v>
      </c>
      <c r="C7" s="3" t="e">
        <f>#REF!</f>
        <v>#REF!</v>
      </c>
      <c r="F7" s="4"/>
    </row>
    <row r="8" spans="2:3" ht="12.75" customHeight="1">
      <c r="B8" s="5"/>
      <c r="C8" s="6"/>
    </row>
    <row r="9" spans="2:4" ht="34.5" customHeight="1">
      <c r="B9" s="7" t="s">
        <v>4</v>
      </c>
      <c r="C9" s="8" t="e">
        <f>SUM(C3+C5+C7)</f>
        <v>#REF!</v>
      </c>
      <c r="D9" s="9"/>
    </row>
    <row r="10" spans="2:3" ht="26.25" customHeight="1">
      <c r="B10" s="10" t="s">
        <v>5</v>
      </c>
      <c r="C10" s="11">
        <v>2246239430</v>
      </c>
    </row>
    <row r="11" spans="2:3" ht="21.75" customHeight="1">
      <c r="B11" s="12" t="s">
        <v>6</v>
      </c>
      <c r="C11" s="11" t="e">
        <f>C9-C10</f>
        <v>#REF!</v>
      </c>
    </row>
    <row r="16" spans="2:6" ht="26.25">
      <c r="B16" s="13"/>
      <c r="C16" s="14"/>
      <c r="D16" s="14"/>
      <c r="E16" s="14"/>
      <c r="F16" s="15"/>
    </row>
    <row r="17" spans="2:6" ht="12.75">
      <c r="B17" s="16"/>
      <c r="C17" s="16"/>
      <c r="D17" s="16"/>
      <c r="E17" s="16"/>
      <c r="F17" s="16"/>
    </row>
    <row r="18" spans="2:6" ht="29.25" customHeight="1">
      <c r="B18" s="17"/>
      <c r="C18" s="18"/>
      <c r="D18" s="18"/>
      <c r="E18" s="18"/>
      <c r="F18" s="18"/>
    </row>
    <row r="19" spans="2:6" ht="29.25" customHeight="1">
      <c r="B19" s="17"/>
      <c r="C19" s="18"/>
      <c r="D19" s="18"/>
      <c r="E19" s="18"/>
      <c r="F19" s="18"/>
    </row>
    <row r="20" spans="2:6" ht="23.25">
      <c r="B20" s="19"/>
      <c r="C20" s="20"/>
      <c r="D20" s="20"/>
      <c r="E20" s="20"/>
      <c r="F20" s="20"/>
    </row>
    <row r="22" ht="35.25" customHeight="1"/>
  </sheetData>
  <sheetProtection selectLockedCells="1" selectUnlockedCells="1"/>
  <mergeCells count="1">
    <mergeCell ref="B2:C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1"/>
  <sheetViews>
    <sheetView zoomScale="90" zoomScaleNormal="90" zoomScaleSheetLayoutView="100" workbookViewId="0" topLeftCell="A1">
      <pane ySplit="65535" topLeftCell="A1" activePane="topLeft" state="split"/>
      <selection pane="topLeft" activeCell="J21" sqref="J21"/>
      <selection pane="bottomLeft" activeCell="A1" sqref="A1"/>
    </sheetView>
  </sheetViews>
  <sheetFormatPr defaultColWidth="9.00390625" defaultRowHeight="12.75"/>
  <cols>
    <col min="1" max="1" width="7.125" style="0" customWidth="1"/>
    <col min="2" max="2" width="20.62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0.25390625" style="0" customWidth="1"/>
  </cols>
  <sheetData>
    <row r="3" ht="12.75">
      <c r="B3" s="99" t="s">
        <v>171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37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38"/>
      <c r="E7" s="103"/>
      <c r="F7" s="103"/>
      <c r="G7" s="103"/>
      <c r="H7" s="139"/>
      <c r="I7" s="103"/>
      <c r="J7" s="103"/>
    </row>
    <row r="8" spans="1:10" ht="12.75">
      <c r="A8" s="106" t="s">
        <v>172</v>
      </c>
      <c r="B8" s="107" t="s">
        <v>173</v>
      </c>
      <c r="C8" s="103">
        <v>195</v>
      </c>
      <c r="D8" s="138"/>
      <c r="E8" s="140">
        <v>8</v>
      </c>
      <c r="F8" s="103"/>
      <c r="G8" s="105">
        <v>2350000</v>
      </c>
      <c r="H8" s="139">
        <v>0.36</v>
      </c>
      <c r="I8" s="139">
        <f>ROUND((C8/E8*H8),1)</f>
        <v>8.8</v>
      </c>
      <c r="J8" s="141">
        <f>G8*I8/12*8</f>
        <v>13786666.666666666</v>
      </c>
    </row>
    <row r="9" spans="1:10" ht="12.75">
      <c r="A9" s="106" t="s">
        <v>174</v>
      </c>
      <c r="B9" s="107" t="s">
        <v>175</v>
      </c>
      <c r="C9" s="103">
        <v>278</v>
      </c>
      <c r="D9" s="138"/>
      <c r="E9" s="103">
        <v>10</v>
      </c>
      <c r="F9" s="103"/>
      <c r="G9" s="105">
        <v>2350000</v>
      </c>
      <c r="H9" s="103">
        <v>0.18</v>
      </c>
      <c r="I9" s="139">
        <f>ROUND((C9/E9*H9),1)</f>
        <v>5</v>
      </c>
      <c r="J9" s="141">
        <f>G9*I9/12*8</f>
        <v>7833333.333333333</v>
      </c>
    </row>
    <row r="10" spans="1:10" ht="14.25">
      <c r="A10" s="106" t="s">
        <v>176</v>
      </c>
      <c r="B10" s="107" t="s">
        <v>173</v>
      </c>
      <c r="C10" s="105"/>
      <c r="D10" s="142"/>
      <c r="E10" s="105"/>
      <c r="F10" s="105"/>
      <c r="G10" s="105"/>
      <c r="H10" s="107"/>
      <c r="I10" s="139"/>
      <c r="J10" s="143">
        <f>C10*G10/12*8</f>
        <v>0</v>
      </c>
    </row>
    <row r="11" spans="1:10" ht="14.25">
      <c r="A11" s="106" t="s">
        <v>177</v>
      </c>
      <c r="B11" s="107" t="s">
        <v>175</v>
      </c>
      <c r="C11" s="105"/>
      <c r="D11" s="142"/>
      <c r="E11" s="105"/>
      <c r="F11" s="105"/>
      <c r="G11" s="105"/>
      <c r="H11" s="107"/>
      <c r="I11" s="139"/>
      <c r="J11" s="143">
        <f>C11*G11/12*8</f>
        <v>0</v>
      </c>
    </row>
    <row r="12" spans="1:10" ht="12.75">
      <c r="A12" s="106" t="s">
        <v>178</v>
      </c>
      <c r="B12" s="107" t="s">
        <v>173</v>
      </c>
      <c r="C12" s="105"/>
      <c r="D12" s="142">
        <v>210</v>
      </c>
      <c r="E12" s="105">
        <v>8</v>
      </c>
      <c r="F12" s="105"/>
      <c r="G12" s="105">
        <v>2350000</v>
      </c>
      <c r="H12" s="107">
        <v>0.36</v>
      </c>
      <c r="I12" s="139">
        <f>ROUND((D12/E12*H12),1)</f>
        <v>9.5</v>
      </c>
      <c r="J12" s="143">
        <f>G12*I12/12*4</f>
        <v>7441666.666666667</v>
      </c>
    </row>
    <row r="13" spans="1:10" ht="12.75">
      <c r="A13" s="106" t="s">
        <v>179</v>
      </c>
      <c r="B13" s="107" t="s">
        <v>175</v>
      </c>
      <c r="C13" s="105"/>
      <c r="D13" s="142">
        <v>300</v>
      </c>
      <c r="E13" s="105">
        <v>10</v>
      </c>
      <c r="F13" s="105"/>
      <c r="G13" s="105">
        <v>2350000</v>
      </c>
      <c r="H13" s="107">
        <v>0.18</v>
      </c>
      <c r="I13" s="139">
        <f>ROUND((D13/E13*H13),1)</f>
        <v>5.4</v>
      </c>
      <c r="J13" s="143">
        <f>G13*I13/12*4</f>
        <v>4230000</v>
      </c>
    </row>
    <row r="14" spans="1:10" ht="12.75">
      <c r="A14" s="106" t="s">
        <v>180</v>
      </c>
      <c r="B14" s="107" t="s">
        <v>173</v>
      </c>
      <c r="C14" s="105"/>
      <c r="D14" s="142"/>
      <c r="E14" s="105"/>
      <c r="F14" s="105"/>
      <c r="G14" s="105">
        <v>0</v>
      </c>
      <c r="H14" s="107"/>
      <c r="I14" s="109"/>
      <c r="J14" s="105">
        <v>0</v>
      </c>
    </row>
    <row r="15" spans="1:10" ht="12.75">
      <c r="A15" s="106" t="s">
        <v>181</v>
      </c>
      <c r="B15" s="107" t="s">
        <v>175</v>
      </c>
      <c r="C15" s="105"/>
      <c r="D15" s="142"/>
      <c r="E15" s="105"/>
      <c r="F15" s="105"/>
      <c r="G15" s="105">
        <v>0</v>
      </c>
      <c r="H15" s="107"/>
      <c r="I15" s="109"/>
      <c r="J15" s="105">
        <v>0</v>
      </c>
    </row>
    <row r="16" spans="1:10" ht="12.75">
      <c r="A16" s="106"/>
      <c r="B16" s="107"/>
      <c r="C16" s="105"/>
      <c r="D16" s="142"/>
      <c r="E16" s="105"/>
      <c r="F16" s="105"/>
      <c r="G16" s="105"/>
      <c r="H16" s="107"/>
      <c r="I16" s="109"/>
      <c r="J16" s="105"/>
    </row>
    <row r="17" spans="1:10" ht="12.75">
      <c r="A17" s="106" t="s">
        <v>182</v>
      </c>
      <c r="B17" s="112" t="s">
        <v>104</v>
      </c>
      <c r="C17" s="105">
        <v>17</v>
      </c>
      <c r="D17" s="142"/>
      <c r="E17" s="105"/>
      <c r="F17" s="105"/>
      <c r="G17" s="105">
        <v>6300</v>
      </c>
      <c r="H17" s="107"/>
      <c r="I17" s="109"/>
      <c r="J17" s="105">
        <f>C17*G17/12*8</f>
        <v>71400</v>
      </c>
    </row>
    <row r="18" spans="1:10" ht="12.75">
      <c r="A18" s="106" t="s">
        <v>182</v>
      </c>
      <c r="B18" s="112" t="s">
        <v>104</v>
      </c>
      <c r="C18" s="113"/>
      <c r="D18" s="144">
        <v>18</v>
      </c>
      <c r="E18" s="113"/>
      <c r="F18" s="113"/>
      <c r="G18" s="113">
        <v>6300</v>
      </c>
      <c r="H18" s="112"/>
      <c r="I18" s="112"/>
      <c r="J18" s="105">
        <f>D18*G18/12*4</f>
        <v>37800</v>
      </c>
    </row>
    <row r="19" spans="1:10" ht="14.25">
      <c r="A19" s="128"/>
      <c r="B19" s="129" t="s">
        <v>29</v>
      </c>
      <c r="C19" s="113"/>
      <c r="D19" s="144"/>
      <c r="E19" s="113"/>
      <c r="F19" s="113"/>
      <c r="G19" s="113"/>
      <c r="H19" s="112"/>
      <c r="I19" s="112"/>
      <c r="J19" s="130">
        <f>SUM(J8:J18)</f>
        <v>33400866.666666664</v>
      </c>
    </row>
    <row r="20" spans="1:10" ht="14.25">
      <c r="A20" s="42"/>
      <c r="B20" s="131" t="s">
        <v>140</v>
      </c>
      <c r="C20" s="42"/>
      <c r="D20" s="42"/>
      <c r="E20" s="42"/>
      <c r="F20" s="42"/>
      <c r="G20" s="42"/>
      <c r="H20" s="42"/>
      <c r="I20" s="42"/>
      <c r="J20" s="105">
        <v>30697300</v>
      </c>
    </row>
    <row r="21" spans="1:10" ht="12.75">
      <c r="A21" s="42"/>
      <c r="B21" s="42"/>
      <c r="C21" s="42"/>
      <c r="D21" s="42"/>
      <c r="E21" s="42"/>
      <c r="F21" s="42"/>
      <c r="G21" s="42"/>
      <c r="H21" s="42"/>
      <c r="I21" s="42"/>
      <c r="J21" s="73">
        <f>J19-J20</f>
        <v>2703566.666666664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52"/>
  <sheetViews>
    <sheetView zoomScale="90" zoomScaleNormal="90" zoomScaleSheetLayoutView="100" workbookViewId="0" topLeftCell="A28">
      <pane ySplit="65535" topLeftCell="A28" activePane="topLeft" state="split"/>
      <selection pane="topLeft" activeCell="J52" sqref="J52"/>
      <selection pane="bottomLeft" activeCell="A28" sqref="A28"/>
    </sheetView>
  </sheetViews>
  <sheetFormatPr defaultColWidth="9.00390625" defaultRowHeight="12.75"/>
  <cols>
    <col min="1" max="1" width="9.625" style="0" customWidth="1"/>
    <col min="2" max="2" width="21.875" style="0" customWidth="1"/>
    <col min="3" max="3" width="10.00390625" style="0" customWidth="1"/>
    <col min="6" max="6" width="7.375" style="0" customWidth="1"/>
    <col min="7" max="7" width="8.375" style="0" customWidth="1"/>
    <col min="9" max="9" width="7.00390625" style="0" customWidth="1"/>
    <col min="10" max="10" width="12.125" style="0" customWidth="1"/>
  </cols>
  <sheetData>
    <row r="3" ht="12.75">
      <c r="B3" s="99" t="s">
        <v>25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9"/>
      <c r="J7" s="103"/>
    </row>
    <row r="8" spans="1:11" ht="14.25">
      <c r="A8" s="106" t="s">
        <v>183</v>
      </c>
      <c r="B8" s="107" t="s">
        <v>184</v>
      </c>
      <c r="C8" s="105">
        <v>501</v>
      </c>
      <c r="D8" s="108"/>
      <c r="E8" s="105">
        <v>28</v>
      </c>
      <c r="F8" s="105"/>
      <c r="G8" s="105">
        <v>2350000</v>
      </c>
      <c r="H8" s="107">
        <v>2.33</v>
      </c>
      <c r="I8" s="145">
        <f>ROUND((C8/E8*H8),2)</f>
        <v>41.69</v>
      </c>
      <c r="J8" s="105">
        <f>G8*I8/12*8-36295</f>
        <v>65278038.333333336</v>
      </c>
      <c r="K8" s="126"/>
    </row>
    <row r="9" spans="1:10" ht="14.25">
      <c r="A9" s="106" t="s">
        <v>185</v>
      </c>
      <c r="B9" s="107" t="s">
        <v>186</v>
      </c>
      <c r="C9" s="105">
        <v>271</v>
      </c>
      <c r="D9" s="108"/>
      <c r="E9" s="105">
        <v>28</v>
      </c>
      <c r="F9" s="105"/>
      <c r="G9" s="105">
        <v>2350000</v>
      </c>
      <c r="H9" s="107">
        <v>2.76</v>
      </c>
      <c r="I9" s="109">
        <f>ROUND((C9/E9*H9),2)</f>
        <v>26.71</v>
      </c>
      <c r="J9" s="105">
        <f>G9*I9/12*8-300000</f>
        <v>41545666.666666664</v>
      </c>
    </row>
    <row r="10" spans="1:10" ht="14.25">
      <c r="A10" s="106" t="s">
        <v>187</v>
      </c>
      <c r="B10" s="107" t="s">
        <v>188</v>
      </c>
      <c r="C10" s="105">
        <v>244</v>
      </c>
      <c r="D10" s="108"/>
      <c r="E10" s="105">
        <v>28</v>
      </c>
      <c r="F10" s="105"/>
      <c r="G10" s="105">
        <v>2350000</v>
      </c>
      <c r="H10" s="107">
        <v>2.76</v>
      </c>
      <c r="I10" s="109">
        <f>ROUND((C10/E10*H10),2)</f>
        <v>24.05</v>
      </c>
      <c r="J10" s="105">
        <f>G10*I10/12*8-300000</f>
        <v>37378333.333333336</v>
      </c>
    </row>
    <row r="11" spans="1:10" ht="14.25">
      <c r="A11" s="107" t="s">
        <v>189</v>
      </c>
      <c r="B11" s="107" t="s">
        <v>190</v>
      </c>
      <c r="C11" s="105">
        <v>65</v>
      </c>
      <c r="D11" s="108"/>
      <c r="E11" s="105">
        <v>26</v>
      </c>
      <c r="F11" s="105"/>
      <c r="G11" s="105">
        <v>2350000</v>
      </c>
      <c r="H11" s="107">
        <v>2.76</v>
      </c>
      <c r="I11" s="109">
        <f>ROUND((C11/E11*H11),2)</f>
        <v>6.9</v>
      </c>
      <c r="J11" s="105">
        <f>G11*I11/12*8-220187</f>
        <v>10589813</v>
      </c>
    </row>
    <row r="12" spans="1:10" ht="12.75">
      <c r="A12" s="107" t="s">
        <v>183</v>
      </c>
      <c r="B12" s="107" t="s">
        <v>191</v>
      </c>
      <c r="C12" s="105"/>
      <c r="D12" s="108">
        <v>468</v>
      </c>
      <c r="E12" s="105">
        <v>28</v>
      </c>
      <c r="F12" s="105"/>
      <c r="G12" s="105">
        <v>2350000</v>
      </c>
      <c r="H12" s="107">
        <v>2.33</v>
      </c>
      <c r="I12" s="109">
        <f>ROUND((D12/E12*H12),1)</f>
        <v>38.9</v>
      </c>
      <c r="J12" s="105">
        <f>G12*I12/12*4+40383</f>
        <v>30512049.666666668</v>
      </c>
    </row>
    <row r="13" spans="1:10" ht="12.75">
      <c r="A13" s="107" t="s">
        <v>192</v>
      </c>
      <c r="B13" s="107" t="s">
        <v>193</v>
      </c>
      <c r="C13" s="105"/>
      <c r="D13" s="108">
        <v>582</v>
      </c>
      <c r="E13" s="105">
        <v>28</v>
      </c>
      <c r="F13" s="105"/>
      <c r="G13" s="105">
        <v>2350000</v>
      </c>
      <c r="H13" s="107">
        <v>2.76</v>
      </c>
      <c r="I13" s="109">
        <f>ROUND((D13/E13*H13),1)</f>
        <v>57.4</v>
      </c>
      <c r="J13" s="105">
        <f>G13*I13/12*4-40504</f>
        <v>44922829.333333336</v>
      </c>
    </row>
    <row r="14" spans="1:10" ht="12.75">
      <c r="A14" s="107"/>
      <c r="B14" s="107"/>
      <c r="C14" s="105"/>
      <c r="D14" s="108"/>
      <c r="E14" s="105"/>
      <c r="F14" s="105"/>
      <c r="G14" s="105"/>
      <c r="H14" s="107"/>
      <c r="I14" s="109"/>
      <c r="J14" s="105"/>
    </row>
    <row r="15" spans="1:10" ht="12.75">
      <c r="A15" s="107"/>
      <c r="B15" s="107"/>
      <c r="C15" s="105"/>
      <c r="D15" s="108"/>
      <c r="E15" s="105"/>
      <c r="F15" s="105"/>
      <c r="G15" s="105"/>
      <c r="H15" s="107"/>
      <c r="I15" s="109"/>
      <c r="J15" s="105"/>
    </row>
    <row r="16" spans="1:10" ht="12.75">
      <c r="A16" s="106" t="s">
        <v>194</v>
      </c>
      <c r="B16" s="107" t="s">
        <v>195</v>
      </c>
      <c r="C16" s="105">
        <v>68</v>
      </c>
      <c r="D16" s="108"/>
      <c r="E16" s="105">
        <v>28</v>
      </c>
      <c r="F16" s="105"/>
      <c r="G16" s="105">
        <v>2350000</v>
      </c>
      <c r="H16" s="107">
        <v>2.03</v>
      </c>
      <c r="I16" s="109">
        <f>ROUND((C16/E16*H16),1)</f>
        <v>4.9</v>
      </c>
      <c r="J16" s="105">
        <f>G16*I16/12*8+46999</f>
        <v>7723665.666666667</v>
      </c>
    </row>
    <row r="17" spans="1:10" ht="12.75">
      <c r="A17" s="107" t="s">
        <v>196</v>
      </c>
      <c r="B17" s="107" t="s">
        <v>197</v>
      </c>
      <c r="C17" s="105"/>
      <c r="D17" s="108">
        <v>68</v>
      </c>
      <c r="E17" s="105">
        <v>28</v>
      </c>
      <c r="F17" s="105"/>
      <c r="G17" s="105">
        <v>2350000</v>
      </c>
      <c r="H17" s="107">
        <v>2.03</v>
      </c>
      <c r="I17" s="109">
        <f>ROUND((D17/E17*H17),1)</f>
        <v>4.9</v>
      </c>
      <c r="J17" s="105">
        <f>G17*I17/12*4+21243</f>
        <v>3859576.3333333335</v>
      </c>
    </row>
    <row r="18" spans="1:10" ht="12.75">
      <c r="A18" s="107" t="s">
        <v>198</v>
      </c>
      <c r="B18" s="107" t="s">
        <v>199</v>
      </c>
      <c r="C18" s="105">
        <v>202</v>
      </c>
      <c r="D18" s="108"/>
      <c r="E18" s="105">
        <v>25</v>
      </c>
      <c r="F18" s="105"/>
      <c r="G18" s="105">
        <v>2350000</v>
      </c>
      <c r="H18" s="146">
        <v>3.04</v>
      </c>
      <c r="I18" s="109">
        <f>ROUND((C18/E18*H18),1)</f>
        <v>24.6</v>
      </c>
      <c r="J18" s="105">
        <f>2350000*I18/12*8</f>
        <v>38540000</v>
      </c>
    </row>
    <row r="19" spans="1:10" ht="14.25">
      <c r="A19" s="107" t="s">
        <v>200</v>
      </c>
      <c r="B19" s="107" t="s">
        <v>201</v>
      </c>
      <c r="C19" s="105">
        <v>14</v>
      </c>
      <c r="D19" s="108"/>
      <c r="E19" s="105">
        <v>25</v>
      </c>
      <c r="F19" s="105"/>
      <c r="G19" s="105">
        <v>2350000</v>
      </c>
      <c r="H19" s="146">
        <v>3.04</v>
      </c>
      <c r="I19" s="109">
        <f>ROUND((C19/E19*H19),1)</f>
        <v>1.7</v>
      </c>
      <c r="J19" s="105">
        <f>2350000*I19/12*8</f>
        <v>2663333.3333333335</v>
      </c>
    </row>
    <row r="20" spans="1:10" ht="12.75">
      <c r="A20" s="107" t="s">
        <v>198</v>
      </c>
      <c r="B20" s="107" t="s">
        <v>202</v>
      </c>
      <c r="C20" s="105"/>
      <c r="D20" s="108">
        <v>202</v>
      </c>
      <c r="E20" s="105">
        <v>25</v>
      </c>
      <c r="F20" s="105"/>
      <c r="G20" s="105">
        <v>2350000</v>
      </c>
      <c r="H20" s="107">
        <v>3.04</v>
      </c>
      <c r="I20" s="109">
        <f>ROUND((D20/E20*H20),1)</f>
        <v>24.6</v>
      </c>
      <c r="J20" s="105">
        <f>2350000*I20/12*4</f>
        <v>19270000</v>
      </c>
    </row>
    <row r="21" spans="1:10" ht="12.75">
      <c r="A21" s="107" t="s">
        <v>200</v>
      </c>
      <c r="B21" s="107" t="s">
        <v>202</v>
      </c>
      <c r="C21" s="105"/>
      <c r="D21" s="108">
        <v>14</v>
      </c>
      <c r="E21" s="105">
        <v>25</v>
      </c>
      <c r="F21" s="105"/>
      <c r="G21" s="105">
        <v>2350000</v>
      </c>
      <c r="H21" s="107">
        <v>3.04</v>
      </c>
      <c r="I21" s="109">
        <f>ROUND((D21/E21*H21),1)</f>
        <v>1.7</v>
      </c>
      <c r="J21" s="105">
        <f>2350000*I21/12*4</f>
        <v>1331666.6666666667</v>
      </c>
    </row>
    <row r="22" spans="1:10" ht="12.75">
      <c r="A22" s="107"/>
      <c r="B22" s="107"/>
      <c r="C22" s="105"/>
      <c r="D22" s="108"/>
      <c r="E22" s="105"/>
      <c r="F22" s="105"/>
      <c r="G22" s="105"/>
      <c r="H22" s="107"/>
      <c r="I22" s="109"/>
      <c r="J22" s="105"/>
    </row>
    <row r="23" spans="1:10" ht="12.75">
      <c r="A23" s="106" t="s">
        <v>203</v>
      </c>
      <c r="B23" s="107" t="s">
        <v>204</v>
      </c>
      <c r="C23" s="105">
        <v>68</v>
      </c>
      <c r="D23" s="108"/>
      <c r="E23" s="105"/>
      <c r="F23" s="105"/>
      <c r="G23" s="105">
        <v>98000</v>
      </c>
      <c r="H23" s="107"/>
      <c r="I23" s="109"/>
      <c r="J23" s="105">
        <f>C23*G23/12*8</f>
        <v>4442666.666666667</v>
      </c>
    </row>
    <row r="24" spans="1:10" ht="12.75">
      <c r="A24" s="106" t="s">
        <v>203</v>
      </c>
      <c r="B24" s="107" t="s">
        <v>204</v>
      </c>
      <c r="C24" s="105"/>
      <c r="D24" s="108">
        <v>68</v>
      </c>
      <c r="E24" s="105"/>
      <c r="F24" s="105"/>
      <c r="G24" s="105">
        <v>98000</v>
      </c>
      <c r="H24" s="107"/>
      <c r="I24" s="109"/>
      <c r="J24" s="105">
        <f>D24*G24/12*4</f>
        <v>2221333.3333333335</v>
      </c>
    </row>
    <row r="25" spans="1:10" ht="12.75">
      <c r="A25" s="106" t="s">
        <v>205</v>
      </c>
      <c r="B25" s="107" t="s">
        <v>206</v>
      </c>
      <c r="C25" s="105">
        <v>164</v>
      </c>
      <c r="D25" s="108"/>
      <c r="E25" s="105"/>
      <c r="F25" s="105"/>
      <c r="G25" s="105">
        <v>64000</v>
      </c>
      <c r="H25" s="107"/>
      <c r="I25" s="109">
        <f>C25/21*H25</f>
        <v>0</v>
      </c>
      <c r="J25" s="105">
        <f>C25*G25/12*8</f>
        <v>6997333.333333333</v>
      </c>
    </row>
    <row r="26" spans="1:10" ht="12.75">
      <c r="A26" s="106" t="s">
        <v>207</v>
      </c>
      <c r="B26" s="107" t="s">
        <v>206</v>
      </c>
      <c r="C26" s="105"/>
      <c r="D26" s="108">
        <v>162</v>
      </c>
      <c r="E26" s="105"/>
      <c r="F26" s="105"/>
      <c r="G26" s="105">
        <v>64000</v>
      </c>
      <c r="H26" s="107"/>
      <c r="I26" s="109"/>
      <c r="J26" s="105">
        <f>D26*G26/12*4</f>
        <v>3456000</v>
      </c>
    </row>
    <row r="27" spans="1:12" ht="14.25">
      <c r="A27" s="107" t="s">
        <v>208</v>
      </c>
      <c r="B27" s="107" t="s">
        <v>209</v>
      </c>
      <c r="C27" s="105"/>
      <c r="D27" s="108"/>
      <c r="E27" s="105"/>
      <c r="F27" s="105"/>
      <c r="G27" s="105"/>
      <c r="H27" s="107"/>
      <c r="I27" s="109">
        <f>C27/21*H27</f>
        <v>0</v>
      </c>
      <c r="J27" s="105">
        <f>C27*G27/12*8</f>
        <v>0</v>
      </c>
      <c r="L27" t="s">
        <v>6</v>
      </c>
    </row>
    <row r="28" spans="1:10" ht="14.25">
      <c r="A28" s="107" t="s">
        <v>208</v>
      </c>
      <c r="B28" s="107" t="s">
        <v>209</v>
      </c>
      <c r="C28" s="105"/>
      <c r="D28" s="108"/>
      <c r="E28" s="105"/>
      <c r="F28" s="105"/>
      <c r="G28" s="105"/>
      <c r="H28" s="107"/>
      <c r="I28" s="109"/>
      <c r="J28" s="105">
        <f>D28*G28/12*4</f>
        <v>0</v>
      </c>
    </row>
    <row r="29" spans="1:10" ht="14.25">
      <c r="A29" s="106" t="s">
        <v>210</v>
      </c>
      <c r="B29" s="107" t="s">
        <v>211</v>
      </c>
      <c r="C29" s="105"/>
      <c r="D29" s="108"/>
      <c r="E29" s="105"/>
      <c r="F29" s="105"/>
      <c r="G29" s="105"/>
      <c r="H29" s="107"/>
      <c r="I29" s="109">
        <f>ROUND((C29/20*H29),1)</f>
        <v>0</v>
      </c>
      <c r="J29" s="105">
        <f>C29*G29/12*8</f>
        <v>0</v>
      </c>
    </row>
    <row r="30" spans="1:10" ht="14.25">
      <c r="A30" s="106" t="s">
        <v>212</v>
      </c>
      <c r="B30" s="107" t="s">
        <v>213</v>
      </c>
      <c r="C30" s="105"/>
      <c r="D30" s="108">
        <v>0</v>
      </c>
      <c r="E30" s="105"/>
      <c r="F30" s="105"/>
      <c r="G30" s="105">
        <v>0</v>
      </c>
      <c r="H30" s="107"/>
      <c r="I30" s="109"/>
      <c r="J30" s="105">
        <f>D30*G30/12*4</f>
        <v>0</v>
      </c>
    </row>
    <row r="31" spans="1:10" ht="12.75">
      <c r="A31" s="106" t="s">
        <v>214</v>
      </c>
      <c r="B31" s="107" t="s">
        <v>215</v>
      </c>
      <c r="C31" s="105">
        <v>612</v>
      </c>
      <c r="D31" s="108"/>
      <c r="E31" s="105"/>
      <c r="F31" s="105"/>
      <c r="G31" s="105">
        <v>15300</v>
      </c>
      <c r="H31" s="107"/>
      <c r="I31" s="109"/>
      <c r="J31" s="105">
        <f>C31*G31/12*8</f>
        <v>6242400</v>
      </c>
    </row>
    <row r="32" spans="1:10" ht="12.75">
      <c r="A32" s="106" t="s">
        <v>214</v>
      </c>
      <c r="B32" s="107" t="s">
        <v>215</v>
      </c>
      <c r="C32" s="105"/>
      <c r="D32" s="108">
        <v>601</v>
      </c>
      <c r="E32" s="105"/>
      <c r="F32" s="105"/>
      <c r="G32" s="105">
        <v>15300</v>
      </c>
      <c r="H32" s="107"/>
      <c r="I32" s="109"/>
      <c r="J32" s="105">
        <f>D32*G32/12*4</f>
        <v>3065100</v>
      </c>
    </row>
    <row r="33" spans="1:10" ht="12.75">
      <c r="A33" s="106" t="s">
        <v>216</v>
      </c>
      <c r="B33" s="107" t="s">
        <v>217</v>
      </c>
      <c r="C33" s="105"/>
      <c r="D33" s="108"/>
      <c r="E33" s="105"/>
      <c r="F33" s="105">
        <v>248</v>
      </c>
      <c r="G33" s="105">
        <v>6000</v>
      </c>
      <c r="H33" s="107"/>
      <c r="I33" s="109"/>
      <c r="J33" s="105">
        <f>F33*G33</f>
        <v>1488000</v>
      </c>
    </row>
    <row r="34" spans="1:10" ht="12.75">
      <c r="A34" s="106" t="s">
        <v>216</v>
      </c>
      <c r="B34" s="107" t="s">
        <v>218</v>
      </c>
      <c r="C34" s="105"/>
      <c r="D34" s="108"/>
      <c r="E34" s="105"/>
      <c r="F34" s="105">
        <v>30</v>
      </c>
      <c r="G34" s="105">
        <v>6000</v>
      </c>
      <c r="H34" s="107"/>
      <c r="I34" s="109"/>
      <c r="J34" s="105">
        <f>F34*G34</f>
        <v>180000</v>
      </c>
    </row>
    <row r="35" spans="1:10" ht="14.25">
      <c r="A35" s="106" t="s">
        <v>219</v>
      </c>
      <c r="B35" s="107" t="s">
        <v>220</v>
      </c>
      <c r="C35" s="105">
        <v>1060</v>
      </c>
      <c r="D35" s="108"/>
      <c r="E35" s="105"/>
      <c r="F35" s="105"/>
      <c r="G35" s="105">
        <v>1750</v>
      </c>
      <c r="H35" s="107"/>
      <c r="I35" s="109"/>
      <c r="J35" s="105">
        <f>C35*G35/12*8</f>
        <v>1236666.6666666667</v>
      </c>
    </row>
    <row r="36" spans="1:10" ht="14.25">
      <c r="A36" s="106" t="s">
        <v>219</v>
      </c>
      <c r="B36" s="107" t="s">
        <v>220</v>
      </c>
      <c r="C36" s="105"/>
      <c r="D36" s="108">
        <v>1060</v>
      </c>
      <c r="E36" s="105"/>
      <c r="F36" s="105"/>
      <c r="G36" s="105">
        <v>1750</v>
      </c>
      <c r="H36" s="107"/>
      <c r="I36" s="109"/>
      <c r="J36" s="105">
        <f>D36*G36/12*4-5500</f>
        <v>612833.3333333334</v>
      </c>
    </row>
    <row r="37" spans="1:10" ht="14.25">
      <c r="A37" s="107" t="s">
        <v>221</v>
      </c>
      <c r="B37" s="107" t="s">
        <v>222</v>
      </c>
      <c r="C37" s="105"/>
      <c r="D37" s="108"/>
      <c r="E37" s="105"/>
      <c r="F37" s="105">
        <f>F38+F39+F40</f>
        <v>204</v>
      </c>
      <c r="G37" s="105">
        <v>68000</v>
      </c>
      <c r="H37" s="107"/>
      <c r="I37" s="109"/>
      <c r="J37" s="105">
        <f>F37*G37</f>
        <v>13872000</v>
      </c>
    </row>
    <row r="38" spans="1:10" ht="14.25">
      <c r="A38" s="107" t="s">
        <v>223</v>
      </c>
      <c r="B38" s="107" t="s">
        <v>132</v>
      </c>
      <c r="C38" s="105"/>
      <c r="D38" s="108"/>
      <c r="E38" s="105"/>
      <c r="F38" s="105">
        <v>152</v>
      </c>
      <c r="G38" s="111"/>
      <c r="H38" s="107"/>
      <c r="I38" s="109"/>
      <c r="J38" s="105"/>
    </row>
    <row r="39" spans="1:10" ht="14.25">
      <c r="A39" s="107" t="s">
        <v>224</v>
      </c>
      <c r="B39" s="107" t="s">
        <v>133</v>
      </c>
      <c r="C39" s="105"/>
      <c r="D39" s="108"/>
      <c r="E39" s="105"/>
      <c r="F39" s="105">
        <v>43</v>
      </c>
      <c r="G39" s="111"/>
      <c r="H39" s="107"/>
      <c r="I39" s="109"/>
      <c r="J39" s="105"/>
    </row>
    <row r="40" spans="1:10" ht="14.25">
      <c r="A40" s="107" t="s">
        <v>225</v>
      </c>
      <c r="B40" s="107" t="s">
        <v>134</v>
      </c>
      <c r="C40" s="105"/>
      <c r="D40" s="108"/>
      <c r="E40" s="105"/>
      <c r="F40" s="105">
        <v>9</v>
      </c>
      <c r="G40" s="111"/>
      <c r="H40" s="107"/>
      <c r="I40" s="109"/>
      <c r="J40" s="105"/>
    </row>
    <row r="41" spans="1:10" ht="14.25">
      <c r="A41" s="106" t="s">
        <v>226</v>
      </c>
      <c r="B41" s="107" t="s">
        <v>227</v>
      </c>
      <c r="C41" s="105"/>
      <c r="D41" s="108"/>
      <c r="E41" s="105"/>
      <c r="F41" s="105"/>
      <c r="G41" s="105"/>
      <c r="H41" s="107"/>
      <c r="I41" s="109"/>
      <c r="J41" s="105">
        <f>C41*G41/12*8</f>
        <v>0</v>
      </c>
    </row>
    <row r="42" spans="1:10" ht="12.75">
      <c r="A42" s="106" t="s">
        <v>226</v>
      </c>
      <c r="B42" s="107" t="s">
        <v>228</v>
      </c>
      <c r="C42" s="105"/>
      <c r="D42" s="108">
        <v>0</v>
      </c>
      <c r="E42" s="105"/>
      <c r="F42" s="105"/>
      <c r="G42" s="105">
        <v>0</v>
      </c>
      <c r="H42" s="107"/>
      <c r="I42" s="109"/>
      <c r="J42" s="105">
        <f>D42*G42/12*4</f>
        <v>0</v>
      </c>
    </row>
    <row r="43" spans="1:10" ht="12.75">
      <c r="A43" s="106"/>
      <c r="B43" s="107" t="s">
        <v>6</v>
      </c>
      <c r="C43" s="105"/>
      <c r="D43" s="108"/>
      <c r="E43" s="105"/>
      <c r="F43" s="105"/>
      <c r="G43" s="105"/>
      <c r="H43" s="107"/>
      <c r="I43" s="109"/>
      <c r="J43" s="105"/>
    </row>
    <row r="44" spans="1:10" ht="14.25">
      <c r="A44" s="106" t="s">
        <v>229</v>
      </c>
      <c r="B44" s="107" t="s">
        <v>230</v>
      </c>
      <c r="C44" s="105"/>
      <c r="D44" s="108">
        <v>522</v>
      </c>
      <c r="E44" s="105"/>
      <c r="F44" s="105"/>
      <c r="G44" s="105">
        <v>12000</v>
      </c>
      <c r="H44" s="107"/>
      <c r="I44" s="109"/>
      <c r="J44" s="105">
        <f>D44*G44</f>
        <v>6264000</v>
      </c>
    </row>
    <row r="45" spans="1:10" ht="12.75">
      <c r="A45" s="106"/>
      <c r="B45" s="107"/>
      <c r="C45" s="105"/>
      <c r="D45" s="108"/>
      <c r="E45" s="105"/>
      <c r="F45" s="105"/>
      <c r="G45" s="105"/>
      <c r="H45" s="107"/>
      <c r="I45" s="109"/>
      <c r="J45" s="105"/>
    </row>
    <row r="46" spans="1:10" ht="12.75">
      <c r="A46" s="106" t="s">
        <v>231</v>
      </c>
      <c r="B46" s="112" t="s">
        <v>104</v>
      </c>
      <c r="C46" s="105">
        <v>80</v>
      </c>
      <c r="D46" s="108"/>
      <c r="E46" s="105"/>
      <c r="F46" s="105"/>
      <c r="G46" s="105">
        <v>6300</v>
      </c>
      <c r="H46" s="107"/>
      <c r="I46" s="109"/>
      <c r="J46" s="105">
        <f>C46*G46/12*8</f>
        <v>336000</v>
      </c>
    </row>
    <row r="47" spans="1:10" ht="12.75">
      <c r="A47" s="106" t="s">
        <v>231</v>
      </c>
      <c r="B47" s="112" t="s">
        <v>104</v>
      </c>
      <c r="C47" s="105"/>
      <c r="D47" s="108">
        <v>80</v>
      </c>
      <c r="E47" s="105"/>
      <c r="F47" s="105"/>
      <c r="G47" s="105">
        <v>6300</v>
      </c>
      <c r="H47" s="107"/>
      <c r="I47" s="107"/>
      <c r="J47" s="105">
        <f>D47*G47/12*4</f>
        <v>168000</v>
      </c>
    </row>
    <row r="48" spans="1:10" ht="12.75">
      <c r="A48" s="106" t="s">
        <v>168</v>
      </c>
      <c r="B48" s="112" t="s">
        <v>138</v>
      </c>
      <c r="C48" s="113">
        <v>40</v>
      </c>
      <c r="D48" s="114"/>
      <c r="E48" s="113"/>
      <c r="F48" s="113"/>
      <c r="G48" s="113">
        <v>26000</v>
      </c>
      <c r="H48" s="112"/>
      <c r="I48" s="112"/>
      <c r="J48" s="105">
        <f>C48*G48/12*8</f>
        <v>693333.3333333334</v>
      </c>
    </row>
    <row r="49" spans="1:10" ht="12.75">
      <c r="A49" s="106" t="s">
        <v>168</v>
      </c>
      <c r="B49" s="112" t="s">
        <v>138</v>
      </c>
      <c r="C49" s="113"/>
      <c r="D49" s="114">
        <v>40</v>
      </c>
      <c r="E49" s="113"/>
      <c r="F49" s="113"/>
      <c r="G49" s="113">
        <v>26000</v>
      </c>
      <c r="H49" s="112"/>
      <c r="I49" s="112"/>
      <c r="J49" s="105">
        <f>D49*G49/12*4</f>
        <v>346666.6666666667</v>
      </c>
    </row>
    <row r="50" spans="1:10" ht="14.25">
      <c r="A50" s="128"/>
      <c r="B50" s="129" t="s">
        <v>232</v>
      </c>
      <c r="C50" s="113"/>
      <c r="D50" s="114"/>
      <c r="E50" s="113"/>
      <c r="F50" s="113"/>
      <c r="G50" s="113"/>
      <c r="H50" s="112"/>
      <c r="I50" s="112"/>
      <c r="J50" s="130">
        <f>SUM(J8:J49)</f>
        <v>355237305.6666667</v>
      </c>
    </row>
    <row r="51" spans="1:10" ht="14.25">
      <c r="A51" s="42"/>
      <c r="B51" s="147" t="s">
        <v>105</v>
      </c>
      <c r="C51" s="42"/>
      <c r="D51" s="42"/>
      <c r="E51" s="42"/>
      <c r="F51" s="42"/>
      <c r="G51" s="42"/>
      <c r="H51" s="42"/>
      <c r="I51" s="42"/>
      <c r="J51" s="105">
        <v>442488533</v>
      </c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73">
        <f>J50-J51</f>
        <v>-87251227.33333331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45"/>
  <sheetViews>
    <sheetView zoomScale="90" zoomScaleNormal="90" zoomScaleSheetLayoutView="100" workbookViewId="0" topLeftCell="A22">
      <pane ySplit="65535" topLeftCell="A22" activePane="topLeft" state="split"/>
      <selection pane="topLeft" activeCell="J45" sqref="J45"/>
      <selection pane="bottomLeft" activeCell="A22" sqref="A22"/>
    </sheetView>
  </sheetViews>
  <sheetFormatPr defaultColWidth="9.00390625" defaultRowHeight="12.75"/>
  <cols>
    <col min="1" max="1" width="8.625" style="0" customWidth="1"/>
    <col min="2" max="2" width="21.87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3.25390625" style="0" customWidth="1"/>
  </cols>
  <sheetData>
    <row r="3" ht="12.75">
      <c r="B3" s="99" t="s">
        <v>233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9"/>
      <c r="J7" s="103"/>
    </row>
    <row r="8" spans="1:10" ht="14.25">
      <c r="A8" s="106" t="s">
        <v>234</v>
      </c>
      <c r="B8" s="107" t="s">
        <v>184</v>
      </c>
      <c r="C8" s="105">
        <v>503</v>
      </c>
      <c r="D8" s="108"/>
      <c r="E8" s="105">
        <v>28</v>
      </c>
      <c r="F8" s="105"/>
      <c r="G8" s="105">
        <v>2350000</v>
      </c>
      <c r="H8" s="107">
        <v>2.33</v>
      </c>
      <c r="I8" s="109">
        <f>ROUND((C8/E8*H8),2)</f>
        <v>41.86</v>
      </c>
      <c r="J8" s="105">
        <f>G8*I8/12*8-42038</f>
        <v>65538628.666666664</v>
      </c>
    </row>
    <row r="9" spans="1:10" ht="14.25">
      <c r="A9" s="106" t="s">
        <v>234</v>
      </c>
      <c r="B9" s="107" t="s">
        <v>186</v>
      </c>
      <c r="C9" s="105">
        <v>125</v>
      </c>
      <c r="D9" s="108"/>
      <c r="E9" s="105">
        <v>28</v>
      </c>
      <c r="F9" s="105"/>
      <c r="G9" s="105">
        <v>2350000</v>
      </c>
      <c r="H9" s="107">
        <v>2.76</v>
      </c>
      <c r="I9" s="109">
        <f>ROUND((C9/E9*H9),2)</f>
        <v>12.32</v>
      </c>
      <c r="J9" s="105">
        <f>G9*I9/12*8</f>
        <v>19301333.333333332</v>
      </c>
    </row>
    <row r="10" spans="1:10" ht="14.25">
      <c r="A10" s="106" t="s">
        <v>187</v>
      </c>
      <c r="B10" s="107" t="s">
        <v>188</v>
      </c>
      <c r="C10" s="105">
        <v>101</v>
      </c>
      <c r="D10" s="108"/>
      <c r="E10" s="105">
        <v>28</v>
      </c>
      <c r="F10" s="105"/>
      <c r="G10" s="105">
        <v>2350000</v>
      </c>
      <c r="H10" s="107">
        <v>2.76</v>
      </c>
      <c r="I10" s="109">
        <f>ROUND((C10/E10*H10),2)</f>
        <v>9.96</v>
      </c>
      <c r="J10" s="105">
        <f>G10*I10/12*8-25813</f>
        <v>15578187.000000002</v>
      </c>
    </row>
    <row r="11" spans="1:10" ht="14.25">
      <c r="A11" s="107" t="s">
        <v>235</v>
      </c>
      <c r="B11" s="107" t="s">
        <v>190</v>
      </c>
      <c r="C11" s="105">
        <v>0</v>
      </c>
      <c r="D11" s="108"/>
      <c r="E11" s="105">
        <v>26</v>
      </c>
      <c r="F11" s="105"/>
      <c r="G11" s="105"/>
      <c r="H11" s="107">
        <v>2.76</v>
      </c>
      <c r="I11" s="109">
        <f>ROUND((C11/E11*H11),2)</f>
        <v>0</v>
      </c>
      <c r="J11" s="105">
        <f>G11*I11/12*8</f>
        <v>0</v>
      </c>
    </row>
    <row r="12" spans="1:10" ht="12.75">
      <c r="A12" s="107" t="s">
        <v>234</v>
      </c>
      <c r="B12" s="107" t="s">
        <v>191</v>
      </c>
      <c r="C12" s="105"/>
      <c r="D12" s="108">
        <v>337</v>
      </c>
      <c r="E12" s="105">
        <v>28</v>
      </c>
      <c r="F12" s="105"/>
      <c r="G12" s="105">
        <v>2350000</v>
      </c>
      <c r="H12" s="107">
        <v>2.33</v>
      </c>
      <c r="I12" s="109">
        <f>ROUND((D12/E12*H12),1)</f>
        <v>28</v>
      </c>
      <c r="J12" s="105">
        <f>G12*I12/12*4+37950</f>
        <v>21971283.333333332</v>
      </c>
    </row>
    <row r="13" spans="1:10" ht="12.75">
      <c r="A13" s="107" t="s">
        <v>187</v>
      </c>
      <c r="B13" s="107" t="s">
        <v>193</v>
      </c>
      <c r="C13" s="105"/>
      <c r="D13" s="108">
        <v>238</v>
      </c>
      <c r="E13" s="105">
        <v>28</v>
      </c>
      <c r="F13" s="105"/>
      <c r="G13" s="105">
        <v>2350000</v>
      </c>
      <c r="H13" s="107">
        <v>2.76</v>
      </c>
      <c r="I13" s="109">
        <f>ROUND((D13/E13*H13),1)</f>
        <v>23.5</v>
      </c>
      <c r="J13" s="105">
        <f>G13*I13/12*4-37829</f>
        <v>18370504.333333332</v>
      </c>
    </row>
    <row r="14" spans="1:10" ht="12.75">
      <c r="A14" s="107"/>
      <c r="B14" s="107"/>
      <c r="C14" s="105"/>
      <c r="D14" s="108"/>
      <c r="E14" s="105"/>
      <c r="F14" s="105"/>
      <c r="G14" s="105"/>
      <c r="H14" s="107">
        <v>0</v>
      </c>
      <c r="I14" s="109"/>
      <c r="J14" s="105"/>
    </row>
    <row r="15" spans="1:10" ht="12.75">
      <c r="A15" s="107"/>
      <c r="B15" s="107"/>
      <c r="C15" s="105"/>
      <c r="D15" s="108"/>
      <c r="E15" s="105"/>
      <c r="F15" s="105"/>
      <c r="G15" s="105"/>
      <c r="H15" s="107"/>
      <c r="I15" s="109"/>
      <c r="J15" s="105"/>
    </row>
    <row r="16" spans="1:10" ht="12.75">
      <c r="A16" s="107" t="s">
        <v>236</v>
      </c>
      <c r="B16" s="107" t="s">
        <v>237</v>
      </c>
      <c r="C16" s="105">
        <v>532</v>
      </c>
      <c r="D16" s="108"/>
      <c r="E16" s="105">
        <v>28</v>
      </c>
      <c r="F16" s="105"/>
      <c r="G16" s="105">
        <v>2350000</v>
      </c>
      <c r="H16" s="107">
        <v>2.03</v>
      </c>
      <c r="I16" s="109">
        <f>ROUND((C16/E16*H16),1)</f>
        <v>38.6</v>
      </c>
      <c r="J16" s="105">
        <f>2350000*I16/12*8-47000</f>
        <v>60426333.333333336</v>
      </c>
    </row>
    <row r="17" spans="1:10" ht="12.75">
      <c r="A17" s="107"/>
      <c r="B17" s="107" t="s">
        <v>237</v>
      </c>
      <c r="C17" s="105"/>
      <c r="D17" s="108">
        <v>640</v>
      </c>
      <c r="E17" s="105">
        <v>28</v>
      </c>
      <c r="F17" s="105"/>
      <c r="G17" s="105">
        <v>2350000</v>
      </c>
      <c r="H17" s="107">
        <v>2.03</v>
      </c>
      <c r="I17" s="109">
        <f>ROUND((D17/E17*H17),1)</f>
        <v>46.4</v>
      </c>
      <c r="J17" s="105">
        <f>G17*I17/12*4-21243</f>
        <v>36325423.666666664</v>
      </c>
    </row>
    <row r="18" spans="1:10" ht="12.75">
      <c r="A18" s="107"/>
      <c r="B18" s="107"/>
      <c r="C18" s="105"/>
      <c r="D18" s="108"/>
      <c r="E18" s="105"/>
      <c r="F18" s="105"/>
      <c r="G18" s="105"/>
      <c r="H18" s="107"/>
      <c r="I18" s="109"/>
      <c r="J18" s="105"/>
    </row>
    <row r="19" spans="1:10" ht="12.75">
      <c r="A19" s="107"/>
      <c r="B19" s="107" t="s">
        <v>238</v>
      </c>
      <c r="C19" s="105"/>
      <c r="D19" s="108"/>
      <c r="E19" s="105"/>
      <c r="F19" s="105"/>
      <c r="G19" s="105"/>
      <c r="H19" s="107"/>
      <c r="I19" s="109"/>
      <c r="J19" s="105"/>
    </row>
    <row r="20" spans="1:10" ht="12.75">
      <c r="A20" s="107" t="s">
        <v>239</v>
      </c>
      <c r="B20" s="107" t="s">
        <v>204</v>
      </c>
      <c r="C20" s="105">
        <v>0</v>
      </c>
      <c r="D20" s="108"/>
      <c r="E20" s="105"/>
      <c r="F20" s="105"/>
      <c r="G20" s="105">
        <v>98000</v>
      </c>
      <c r="H20" s="107"/>
      <c r="I20" s="109"/>
      <c r="J20" s="105">
        <f>C20*G20/12*8</f>
        <v>0</v>
      </c>
    </row>
    <row r="21" spans="1:10" ht="12.75">
      <c r="A21" s="106" t="s">
        <v>239</v>
      </c>
      <c r="B21" s="107" t="s">
        <v>204</v>
      </c>
      <c r="C21" s="105"/>
      <c r="D21" s="108">
        <v>0</v>
      </c>
      <c r="E21" s="105"/>
      <c r="F21" s="105"/>
      <c r="G21" s="105">
        <v>98000</v>
      </c>
      <c r="H21" s="107"/>
      <c r="I21" s="109"/>
      <c r="J21" s="105">
        <f>D21*G21/12*4</f>
        <v>0</v>
      </c>
    </row>
    <row r="22" spans="1:10" ht="12.75">
      <c r="A22" s="106" t="s">
        <v>240</v>
      </c>
      <c r="B22" s="107" t="s">
        <v>204</v>
      </c>
      <c r="C22" s="105">
        <v>170</v>
      </c>
      <c r="D22" s="108"/>
      <c r="E22" s="105"/>
      <c r="F22" s="105"/>
      <c r="G22" s="105">
        <v>137200</v>
      </c>
      <c r="H22" s="107"/>
      <c r="I22" s="109"/>
      <c r="J22" s="105">
        <f>C22*G22/12*8</f>
        <v>15549333.333333334</v>
      </c>
    </row>
    <row r="23" spans="1:10" ht="12.75">
      <c r="A23" s="106" t="s">
        <v>241</v>
      </c>
      <c r="B23" s="107" t="s">
        <v>242</v>
      </c>
      <c r="C23" s="105"/>
      <c r="D23" s="108">
        <v>329</v>
      </c>
      <c r="E23" s="105"/>
      <c r="F23" s="105"/>
      <c r="G23" s="105">
        <v>137200</v>
      </c>
      <c r="H23" s="107"/>
      <c r="I23" s="109"/>
      <c r="J23" s="105">
        <f>D23*G23/12*4</f>
        <v>15046266.666666666</v>
      </c>
    </row>
    <row r="24" spans="1:10" ht="12.75">
      <c r="A24" s="106" t="s">
        <v>243</v>
      </c>
      <c r="B24" s="107" t="s">
        <v>204</v>
      </c>
      <c r="C24" s="105">
        <v>100</v>
      </c>
      <c r="D24" s="108"/>
      <c r="E24" s="105"/>
      <c r="F24" s="105"/>
      <c r="G24" s="105">
        <v>58800</v>
      </c>
      <c r="H24" s="107"/>
      <c r="I24" s="109"/>
      <c r="J24" s="105">
        <f>C24*G24/12*8</f>
        <v>3920000</v>
      </c>
    </row>
    <row r="25" spans="1:10" ht="12.75">
      <c r="A25" s="106" t="s">
        <v>243</v>
      </c>
      <c r="B25" s="107" t="s">
        <v>204</v>
      </c>
      <c r="C25" s="105"/>
      <c r="D25" s="108">
        <v>82</v>
      </c>
      <c r="E25" s="105"/>
      <c r="F25" s="105"/>
      <c r="G25" s="105">
        <v>58800</v>
      </c>
      <c r="H25" s="107"/>
      <c r="I25" s="109"/>
      <c r="J25" s="105">
        <f>D25*G25/12*4</f>
        <v>1607200</v>
      </c>
    </row>
    <row r="26" spans="1:10" ht="12.75">
      <c r="A26" s="106" t="s">
        <v>244</v>
      </c>
      <c r="B26" s="107" t="s">
        <v>245</v>
      </c>
      <c r="C26" s="105">
        <v>262</v>
      </c>
      <c r="D26" s="108">
        <v>0</v>
      </c>
      <c r="E26" s="105"/>
      <c r="F26" s="105"/>
      <c r="G26" s="105">
        <v>19600</v>
      </c>
      <c r="H26" s="107"/>
      <c r="I26" s="109"/>
      <c r="J26" s="105">
        <f>C26*G26/12*8</f>
        <v>3423466.6666666665</v>
      </c>
    </row>
    <row r="27" spans="1:10" ht="12.75">
      <c r="A27" s="106" t="s">
        <v>244</v>
      </c>
      <c r="B27" s="107" t="s">
        <v>245</v>
      </c>
      <c r="C27" s="105"/>
      <c r="D27" s="108">
        <v>229</v>
      </c>
      <c r="E27" s="105"/>
      <c r="F27" s="105"/>
      <c r="G27" s="105">
        <v>19600</v>
      </c>
      <c r="H27" s="107"/>
      <c r="I27" s="109"/>
      <c r="J27" s="105">
        <f>D27*G27/12*4</f>
        <v>1496133.3333333333</v>
      </c>
    </row>
    <row r="28" spans="1:10" ht="12.75">
      <c r="A28" s="106" t="s">
        <v>216</v>
      </c>
      <c r="B28" s="107" t="s">
        <v>217</v>
      </c>
      <c r="C28" s="105"/>
      <c r="D28" s="108"/>
      <c r="E28" s="105"/>
      <c r="F28" s="105">
        <v>101</v>
      </c>
      <c r="G28" s="105">
        <v>6000</v>
      </c>
      <c r="H28" s="107"/>
      <c r="I28" s="109"/>
      <c r="J28" s="105">
        <f>F28*G28</f>
        <v>606000</v>
      </c>
    </row>
    <row r="29" spans="1:10" ht="12.75">
      <c r="A29" s="106" t="s">
        <v>216</v>
      </c>
      <c r="B29" s="107" t="s">
        <v>218</v>
      </c>
      <c r="C29" s="105"/>
      <c r="D29" s="108"/>
      <c r="E29" s="105"/>
      <c r="F29" s="105">
        <v>269</v>
      </c>
      <c r="G29" s="105">
        <v>6000</v>
      </c>
      <c r="H29" s="107"/>
      <c r="I29" s="109"/>
      <c r="J29" s="105">
        <f>F29*G29</f>
        <v>1614000</v>
      </c>
    </row>
    <row r="30" spans="1:10" ht="14.25">
      <c r="A30" s="106" t="s">
        <v>164</v>
      </c>
      <c r="B30" s="107" t="s">
        <v>220</v>
      </c>
      <c r="C30" s="105">
        <v>729</v>
      </c>
      <c r="D30" s="108"/>
      <c r="E30" s="105"/>
      <c r="F30" s="105"/>
      <c r="G30" s="105">
        <v>1750</v>
      </c>
      <c r="H30" s="107"/>
      <c r="I30" s="109"/>
      <c r="J30" s="105">
        <f>C30*G30/12*8</f>
        <v>850500</v>
      </c>
    </row>
    <row r="31" spans="1:10" ht="14.25">
      <c r="A31" s="106" t="s">
        <v>164</v>
      </c>
      <c r="B31" s="107" t="s">
        <v>220</v>
      </c>
      <c r="C31" s="105"/>
      <c r="D31" s="108">
        <v>575</v>
      </c>
      <c r="E31" s="105"/>
      <c r="F31" s="105"/>
      <c r="G31" s="105">
        <v>1750</v>
      </c>
      <c r="H31" s="107"/>
      <c r="I31" s="109"/>
      <c r="J31" s="105">
        <f>D31*G31/12*4-5500</f>
        <v>329916.6666666667</v>
      </c>
    </row>
    <row r="32" spans="1:10" ht="12.75">
      <c r="A32" s="106" t="s">
        <v>246</v>
      </c>
      <c r="B32" s="107" t="s">
        <v>215</v>
      </c>
      <c r="C32" s="105">
        <v>992</v>
      </c>
      <c r="D32" s="108"/>
      <c r="E32" s="105"/>
      <c r="F32" s="105"/>
      <c r="G32" s="105">
        <v>15300</v>
      </c>
      <c r="H32" s="107"/>
      <c r="I32" s="109"/>
      <c r="J32" s="105">
        <f>C32*G32/12*8</f>
        <v>10118400</v>
      </c>
    </row>
    <row r="33" spans="1:10" ht="12.75">
      <c r="A33" s="106" t="s">
        <v>246</v>
      </c>
      <c r="B33" s="107" t="s">
        <v>215</v>
      </c>
      <c r="C33" s="105"/>
      <c r="D33" s="108">
        <v>887</v>
      </c>
      <c r="E33" s="105"/>
      <c r="F33" s="105"/>
      <c r="G33" s="105">
        <v>15300</v>
      </c>
      <c r="H33" s="107"/>
      <c r="I33" s="109"/>
      <c r="J33" s="105">
        <f>D33*G33/12*4</f>
        <v>4523700</v>
      </c>
    </row>
    <row r="34" spans="1:10" ht="14.25">
      <c r="A34" s="107" t="s">
        <v>247</v>
      </c>
      <c r="B34" s="107" t="s">
        <v>248</v>
      </c>
      <c r="C34" s="105"/>
      <c r="D34" s="108">
        <v>745</v>
      </c>
      <c r="E34" s="105"/>
      <c r="F34" s="105"/>
      <c r="G34" s="105">
        <v>12000</v>
      </c>
      <c r="H34" s="107"/>
      <c r="I34" s="109"/>
      <c r="J34" s="105">
        <f>D34*G34</f>
        <v>8940000</v>
      </c>
    </row>
    <row r="35" spans="1:10" ht="14.25">
      <c r="A35" s="107" t="s">
        <v>221</v>
      </c>
      <c r="B35" s="107" t="s">
        <v>222</v>
      </c>
      <c r="C35" s="105"/>
      <c r="D35" s="108"/>
      <c r="E35" s="105"/>
      <c r="F35" s="105">
        <f>F36+F37+F38</f>
        <v>75</v>
      </c>
      <c r="G35" s="105">
        <v>68000</v>
      </c>
      <c r="H35" s="107"/>
      <c r="I35" s="109"/>
      <c r="J35" s="105">
        <f>F35*G35</f>
        <v>5100000</v>
      </c>
    </row>
    <row r="36" spans="1:10" ht="14.25">
      <c r="A36" s="107" t="s">
        <v>223</v>
      </c>
      <c r="B36" s="107" t="s">
        <v>132</v>
      </c>
      <c r="C36" s="105"/>
      <c r="D36" s="108"/>
      <c r="E36" s="105"/>
      <c r="F36" s="105">
        <v>60</v>
      </c>
      <c r="G36" s="111"/>
      <c r="H36" s="107"/>
      <c r="I36" s="109"/>
      <c r="J36" s="105"/>
    </row>
    <row r="37" spans="1:10" ht="14.25">
      <c r="A37" s="107" t="s">
        <v>224</v>
      </c>
      <c r="B37" s="107" t="s">
        <v>133</v>
      </c>
      <c r="C37" s="105"/>
      <c r="D37" s="108"/>
      <c r="E37" s="105"/>
      <c r="F37" s="105">
        <v>15</v>
      </c>
      <c r="G37" s="111"/>
      <c r="H37" s="107"/>
      <c r="I37" s="109"/>
      <c r="J37" s="105"/>
    </row>
    <row r="38" spans="1:10" ht="14.25">
      <c r="A38" s="107" t="s">
        <v>225</v>
      </c>
      <c r="B38" s="107" t="s">
        <v>134</v>
      </c>
      <c r="C38" s="105"/>
      <c r="D38" s="108"/>
      <c r="E38" s="105"/>
      <c r="F38" s="105">
        <v>0</v>
      </c>
      <c r="G38" s="111"/>
      <c r="H38" s="107"/>
      <c r="I38" s="109"/>
      <c r="J38" s="105"/>
    </row>
    <row r="39" spans="1:10" ht="12.75">
      <c r="A39" s="106" t="s">
        <v>103</v>
      </c>
      <c r="B39" s="107" t="s">
        <v>249</v>
      </c>
      <c r="C39" s="105">
        <v>69</v>
      </c>
      <c r="D39" s="108"/>
      <c r="E39" s="105"/>
      <c r="F39" s="105"/>
      <c r="G39" s="105">
        <v>6300</v>
      </c>
      <c r="H39" s="107"/>
      <c r="I39" s="109"/>
      <c r="J39" s="105">
        <f>C39*G39/12*8</f>
        <v>289800</v>
      </c>
    </row>
    <row r="40" spans="1:10" ht="12.75">
      <c r="A40" s="106" t="s">
        <v>103</v>
      </c>
      <c r="B40" s="107" t="s">
        <v>250</v>
      </c>
      <c r="C40" s="105"/>
      <c r="D40" s="108">
        <v>69</v>
      </c>
      <c r="E40" s="105"/>
      <c r="F40" s="105"/>
      <c r="G40" s="105">
        <v>6300</v>
      </c>
      <c r="H40" s="107"/>
      <c r="I40" s="107"/>
      <c r="J40" s="105">
        <f>D40*G40/12*4</f>
        <v>144900</v>
      </c>
    </row>
    <row r="41" spans="1:10" ht="12.75">
      <c r="A41" s="106" t="s">
        <v>168</v>
      </c>
      <c r="B41" s="112" t="s">
        <v>138</v>
      </c>
      <c r="C41" s="113">
        <v>38</v>
      </c>
      <c r="D41" s="114"/>
      <c r="E41" s="113"/>
      <c r="F41" s="113"/>
      <c r="G41" s="113">
        <v>26000</v>
      </c>
      <c r="H41" s="112"/>
      <c r="I41" s="112"/>
      <c r="J41" s="105">
        <f>C41*G41/12*8</f>
        <v>658666.6666666666</v>
      </c>
    </row>
    <row r="42" spans="1:10" ht="12.75">
      <c r="A42" s="106" t="s">
        <v>168</v>
      </c>
      <c r="B42" s="112" t="s">
        <v>138</v>
      </c>
      <c r="C42" s="113"/>
      <c r="D42" s="114">
        <v>35</v>
      </c>
      <c r="E42" s="113"/>
      <c r="F42" s="113"/>
      <c r="G42" s="113">
        <v>26000</v>
      </c>
      <c r="H42" s="112"/>
      <c r="I42" s="112"/>
      <c r="J42" s="105">
        <f>D42*G42/12*4</f>
        <v>303333.3333333333</v>
      </c>
    </row>
    <row r="43" spans="1:10" ht="12.75">
      <c r="A43" s="106"/>
      <c r="B43" s="121" t="s">
        <v>29</v>
      </c>
      <c r="C43" s="105"/>
      <c r="D43" s="108"/>
      <c r="E43" s="105"/>
      <c r="F43" s="105"/>
      <c r="G43" s="105"/>
      <c r="H43" s="107"/>
      <c r="I43" s="107"/>
      <c r="J43" s="122">
        <f>SUM(J8:J42)</f>
        <v>312033310.3333333</v>
      </c>
    </row>
    <row r="44" spans="1:10" ht="14.25">
      <c r="A44" s="42"/>
      <c r="B44" s="131" t="s">
        <v>140</v>
      </c>
      <c r="C44" s="42"/>
      <c r="D44" s="132"/>
      <c r="E44" s="42"/>
      <c r="F44" s="42"/>
      <c r="G44" s="42"/>
      <c r="H44" s="42"/>
      <c r="I44" s="42"/>
      <c r="J44" s="105">
        <v>307362002</v>
      </c>
    </row>
    <row r="45" spans="1:10" ht="12.75">
      <c r="A45" s="42"/>
      <c r="B45" s="42"/>
      <c r="C45" s="42"/>
      <c r="D45" s="132"/>
      <c r="E45" s="42"/>
      <c r="F45" s="42"/>
      <c r="G45" s="42"/>
      <c r="H45" s="42"/>
      <c r="I45" s="42"/>
      <c r="J45" s="73">
        <f>J43-J44</f>
        <v>4671308.333333313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30"/>
  <sheetViews>
    <sheetView zoomScale="90" zoomScaleNormal="90" zoomScaleSheetLayoutView="100" workbookViewId="0" topLeftCell="A1">
      <pane ySplit="65535" topLeftCell="A1" activePane="topLeft" state="split"/>
      <selection pane="topLeft" activeCell="B30" sqref="B30"/>
      <selection pane="bottomLeft" activeCell="A1" sqref="A1"/>
    </sheetView>
  </sheetViews>
  <sheetFormatPr defaultColWidth="9.00390625" defaultRowHeight="12.75"/>
  <cols>
    <col min="1" max="1" width="8.625" style="0" customWidth="1"/>
    <col min="2" max="2" width="21.87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3.25390625" style="0" customWidth="1"/>
  </cols>
  <sheetData>
    <row r="3" ht="12.75">
      <c r="B3" s="99" t="s">
        <v>251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48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1">
        <v>41183</v>
      </c>
      <c r="E6" s="101" t="s">
        <v>78</v>
      </c>
      <c r="F6" s="102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3"/>
      <c r="E7" s="103"/>
      <c r="F7" s="104"/>
      <c r="G7" s="103"/>
      <c r="H7" s="103"/>
      <c r="I7" s="109"/>
      <c r="J7" s="103"/>
    </row>
    <row r="8" spans="1:10" ht="12.75">
      <c r="A8" s="106" t="s">
        <v>252</v>
      </c>
      <c r="B8" s="107" t="s">
        <v>253</v>
      </c>
      <c r="C8" s="105"/>
      <c r="D8" s="105"/>
      <c r="E8" s="105"/>
      <c r="F8" s="108"/>
      <c r="G8" s="105"/>
      <c r="H8" s="107"/>
      <c r="I8" s="109"/>
      <c r="J8" s="105"/>
    </row>
    <row r="9" spans="1:10" ht="12.75">
      <c r="A9" s="106"/>
      <c r="B9" s="107" t="s">
        <v>254</v>
      </c>
      <c r="C9" s="105"/>
      <c r="D9" s="105"/>
      <c r="E9" s="105"/>
      <c r="F9" s="108"/>
      <c r="G9" s="105"/>
      <c r="H9" s="107"/>
      <c r="I9" s="109"/>
      <c r="J9" s="105"/>
    </row>
    <row r="10" spans="1:10" ht="14.25">
      <c r="A10" s="106" t="s">
        <v>255</v>
      </c>
      <c r="B10" s="107" t="s">
        <v>65</v>
      </c>
      <c r="C10" s="105"/>
      <c r="D10" s="105"/>
      <c r="E10" s="105"/>
      <c r="F10" s="149">
        <v>6.072</v>
      </c>
      <c r="G10" s="105"/>
      <c r="H10" s="107"/>
      <c r="I10" s="109"/>
      <c r="J10" s="105">
        <v>11992200</v>
      </c>
    </row>
    <row r="11" spans="1:10" ht="14.25">
      <c r="A11" s="106" t="s">
        <v>255</v>
      </c>
      <c r="B11" s="107" t="s">
        <v>256</v>
      </c>
      <c r="C11" s="105"/>
      <c r="D11" s="105"/>
      <c r="E11" s="105"/>
      <c r="F11" s="149">
        <v>6.072</v>
      </c>
      <c r="G11" s="105"/>
      <c r="H11" s="107"/>
      <c r="I11" s="109"/>
      <c r="J11" s="105">
        <v>11992200</v>
      </c>
    </row>
    <row r="12" spans="1:10" ht="12.75">
      <c r="A12" s="106" t="s">
        <v>257</v>
      </c>
      <c r="B12" s="107" t="s">
        <v>258</v>
      </c>
      <c r="C12" s="105"/>
      <c r="D12" s="105"/>
      <c r="E12" s="105"/>
      <c r="F12" s="108">
        <v>140</v>
      </c>
      <c r="G12" s="105">
        <v>55360</v>
      </c>
      <c r="H12" s="107"/>
      <c r="I12" s="109"/>
      <c r="J12" s="105">
        <f>F12*G12</f>
        <v>7750400</v>
      </c>
    </row>
    <row r="13" spans="1:10" ht="12.75">
      <c r="A13" s="106"/>
      <c r="B13" s="107"/>
      <c r="C13" s="105"/>
      <c r="D13" s="105"/>
      <c r="E13" s="105"/>
      <c r="F13" s="108"/>
      <c r="G13" s="105"/>
      <c r="H13" s="107"/>
      <c r="I13" s="109"/>
      <c r="J13" s="105"/>
    </row>
    <row r="14" spans="1:10" ht="12.75">
      <c r="A14" s="106" t="s">
        <v>259</v>
      </c>
      <c r="B14" s="107" t="s">
        <v>260</v>
      </c>
      <c r="C14" s="105"/>
      <c r="D14" s="105"/>
      <c r="E14" s="105"/>
      <c r="F14" s="108">
        <v>346</v>
      </c>
      <c r="G14" s="105">
        <v>166080</v>
      </c>
      <c r="H14" s="107"/>
      <c r="I14" s="109"/>
      <c r="J14" s="105">
        <f>F14*G14</f>
        <v>57463680</v>
      </c>
    </row>
    <row r="15" spans="1:10" ht="12.75">
      <c r="A15" s="106" t="s">
        <v>261</v>
      </c>
      <c r="B15" s="107" t="s">
        <v>262</v>
      </c>
      <c r="C15" s="105"/>
      <c r="D15" s="105"/>
      <c r="E15" s="105"/>
      <c r="F15" s="108">
        <v>20</v>
      </c>
      <c r="G15" s="105">
        <v>405600</v>
      </c>
      <c r="H15" s="107"/>
      <c r="I15" s="109"/>
      <c r="J15" s="105">
        <f>F15*G15</f>
        <v>8112000</v>
      </c>
    </row>
    <row r="16" spans="1:10" ht="12.75">
      <c r="A16" s="106" t="s">
        <v>263</v>
      </c>
      <c r="B16" s="107" t="s">
        <v>264</v>
      </c>
      <c r="C16" s="105"/>
      <c r="D16" s="105"/>
      <c r="E16" s="105"/>
      <c r="F16" s="108"/>
      <c r="G16" s="105"/>
      <c r="H16" s="107"/>
      <c r="I16" s="109"/>
      <c r="J16" s="105"/>
    </row>
    <row r="17" spans="1:10" ht="12.75">
      <c r="A17" s="106" t="s">
        <v>265</v>
      </c>
      <c r="B17" s="107" t="s">
        <v>266</v>
      </c>
      <c r="C17" s="105"/>
      <c r="D17" s="105"/>
      <c r="E17" s="105"/>
      <c r="F17" s="108">
        <v>70</v>
      </c>
      <c r="G17" s="105">
        <v>88580</v>
      </c>
      <c r="H17" s="107"/>
      <c r="I17" s="109"/>
      <c r="J17" s="105">
        <f>F17*G17</f>
        <v>6200600</v>
      </c>
    </row>
    <row r="18" spans="1:10" ht="12.75">
      <c r="A18" s="106" t="s">
        <v>267</v>
      </c>
      <c r="B18" s="107" t="s">
        <v>268</v>
      </c>
      <c r="C18" s="105"/>
      <c r="D18" s="105"/>
      <c r="E18" s="105"/>
      <c r="F18" s="108">
        <v>23</v>
      </c>
      <c r="G18" s="105">
        <v>635650</v>
      </c>
      <c r="H18" s="107"/>
      <c r="I18" s="109"/>
      <c r="J18" s="105">
        <f>F18*G18</f>
        <v>14619950</v>
      </c>
    </row>
    <row r="19" spans="1:10" ht="14.25">
      <c r="A19" s="150" t="s">
        <v>269</v>
      </c>
      <c r="B19" s="107" t="s">
        <v>270</v>
      </c>
      <c r="C19" s="105"/>
      <c r="D19" s="105"/>
      <c r="E19" s="105"/>
      <c r="F19" s="108">
        <v>24</v>
      </c>
      <c r="G19" s="105">
        <v>468350</v>
      </c>
      <c r="H19" s="107"/>
      <c r="I19" s="109"/>
      <c r="J19" s="105">
        <f>F19*G19</f>
        <v>11240400</v>
      </c>
    </row>
    <row r="20" spans="1:10" ht="14.25">
      <c r="A20" s="150" t="s">
        <v>271</v>
      </c>
      <c r="B20" s="107" t="s">
        <v>272</v>
      </c>
      <c r="C20" s="105"/>
      <c r="D20" s="105"/>
      <c r="E20" s="105"/>
      <c r="F20" s="108">
        <v>40</v>
      </c>
      <c r="G20" s="105">
        <v>494100</v>
      </c>
      <c r="H20" s="107"/>
      <c r="I20" s="109"/>
      <c r="J20" s="105">
        <f>F20*G20</f>
        <v>19764000</v>
      </c>
    </row>
    <row r="21" spans="1:10" ht="14.25">
      <c r="A21" s="150" t="s">
        <v>273</v>
      </c>
      <c r="B21" s="107" t="s">
        <v>274</v>
      </c>
      <c r="C21" s="105"/>
      <c r="D21" s="105"/>
      <c r="E21" s="105"/>
      <c r="F21" s="108">
        <v>4</v>
      </c>
      <c r="G21" s="105"/>
      <c r="H21" s="107"/>
      <c r="I21" s="109"/>
      <c r="J21" s="105">
        <v>1072800</v>
      </c>
    </row>
    <row r="22" spans="1:10" ht="14.25">
      <c r="A22" s="107" t="s">
        <v>275</v>
      </c>
      <c r="B22" s="107" t="s">
        <v>276</v>
      </c>
      <c r="C22" s="105"/>
      <c r="D22" s="105"/>
      <c r="E22" s="105"/>
      <c r="F22" s="108">
        <v>8</v>
      </c>
      <c r="G22" s="105">
        <v>68000</v>
      </c>
      <c r="H22" s="107"/>
      <c r="I22" s="109"/>
      <c r="J22" s="105">
        <f>F22*G22</f>
        <v>544000</v>
      </c>
    </row>
    <row r="23" spans="1:10" ht="14.25">
      <c r="A23" s="106" t="s">
        <v>277</v>
      </c>
      <c r="B23" s="107" t="s">
        <v>278</v>
      </c>
      <c r="C23" s="105">
        <v>70</v>
      </c>
      <c r="D23" s="105"/>
      <c r="E23" s="105"/>
      <c r="F23" s="108"/>
      <c r="G23" s="105">
        <v>1640</v>
      </c>
      <c r="H23" s="107"/>
      <c r="I23" s="109"/>
      <c r="J23" s="105">
        <f>C23*G23/12*8-23</f>
        <v>76510.33333333333</v>
      </c>
    </row>
    <row r="24" spans="1:10" ht="14.25">
      <c r="A24" s="106" t="s">
        <v>277</v>
      </c>
      <c r="B24" s="107" t="s">
        <v>278</v>
      </c>
      <c r="C24" s="105"/>
      <c r="D24" s="105">
        <v>70</v>
      </c>
      <c r="E24" s="105"/>
      <c r="F24" s="108"/>
      <c r="G24" s="105">
        <v>1641</v>
      </c>
      <c r="H24" s="107"/>
      <c r="I24" s="109"/>
      <c r="J24" s="105">
        <f>D24*G24/3</f>
        <v>38290</v>
      </c>
    </row>
    <row r="25" spans="1:10" ht="12.75">
      <c r="A25" s="106" t="s">
        <v>279</v>
      </c>
      <c r="B25" s="107" t="s">
        <v>280</v>
      </c>
      <c r="C25" s="105"/>
      <c r="D25" s="105"/>
      <c r="E25" s="105"/>
      <c r="F25" s="108">
        <v>15</v>
      </c>
      <c r="G25" s="105">
        <v>427000</v>
      </c>
      <c r="H25" s="107"/>
      <c r="I25" s="109"/>
      <c r="J25" s="105">
        <f>F25*G25</f>
        <v>6405000</v>
      </c>
    </row>
    <row r="26" spans="1:10" ht="12.75">
      <c r="A26" s="106" t="s">
        <v>281</v>
      </c>
      <c r="B26" s="107" t="s">
        <v>282</v>
      </c>
      <c r="C26" s="105"/>
      <c r="D26" s="105"/>
      <c r="E26" s="105"/>
      <c r="F26" s="108">
        <v>13</v>
      </c>
      <c r="G26" s="105">
        <v>68000</v>
      </c>
      <c r="H26" s="107"/>
      <c r="I26" s="109"/>
      <c r="J26" s="105">
        <f>F26*G26</f>
        <v>884000</v>
      </c>
    </row>
    <row r="27" spans="1:10" ht="14.25">
      <c r="A27" s="128"/>
      <c r="B27" s="129" t="s">
        <v>283</v>
      </c>
      <c r="C27" s="113"/>
      <c r="D27" s="113"/>
      <c r="E27" s="113"/>
      <c r="F27" s="114"/>
      <c r="G27" s="113"/>
      <c r="H27" s="112"/>
      <c r="I27" s="112"/>
      <c r="J27" s="130">
        <f>SUM(J8:J26)</f>
        <v>158156030.33333334</v>
      </c>
    </row>
    <row r="28" spans="1:10" ht="14.25">
      <c r="A28" s="42"/>
      <c r="B28" s="131" t="s">
        <v>284</v>
      </c>
      <c r="C28" s="42"/>
      <c r="D28" s="42"/>
      <c r="E28" s="42"/>
      <c r="F28" s="132"/>
      <c r="G28" s="42"/>
      <c r="H28" s="42"/>
      <c r="I28" s="42"/>
      <c r="J28" s="105">
        <v>130906600</v>
      </c>
    </row>
    <row r="29" spans="1:10" ht="14.25">
      <c r="A29" s="42"/>
      <c r="B29" s="131" t="s">
        <v>272</v>
      </c>
      <c r="C29" s="42"/>
      <c r="D29" s="42"/>
      <c r="E29" s="42"/>
      <c r="F29" s="132"/>
      <c r="G29" s="42"/>
      <c r="H29" s="42"/>
      <c r="I29" s="42"/>
      <c r="J29" s="105">
        <v>20887400</v>
      </c>
    </row>
    <row r="30" spans="1:10" ht="12.75">
      <c r="A30" s="42"/>
      <c r="B30" s="42"/>
      <c r="C30" s="42"/>
      <c r="D30" s="42"/>
      <c r="E30" s="42"/>
      <c r="F30" s="132"/>
      <c r="G30" s="42"/>
      <c r="H30" s="42"/>
      <c r="I30" s="42"/>
      <c r="J30" s="73">
        <f>J27-J28-J29</f>
        <v>6362030.333333343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17"/>
  <sheetViews>
    <sheetView zoomScale="90" zoomScaleNormal="90" zoomScaleSheetLayoutView="100" workbookViewId="0" topLeftCell="A1">
      <pane ySplit="65535" topLeftCell="A1" activePane="topLeft" state="split"/>
      <selection pane="topLeft" activeCell="D29" sqref="D29"/>
      <selection pane="bottomLeft" activeCell="A1" sqref="A1"/>
    </sheetView>
  </sheetViews>
  <sheetFormatPr defaultColWidth="9.00390625" defaultRowHeight="12.75"/>
  <cols>
    <col min="1" max="1" width="8.625" style="0" customWidth="1"/>
    <col min="2" max="2" width="21.87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3.25390625" style="0" customWidth="1"/>
  </cols>
  <sheetData>
    <row r="3" ht="12.75">
      <c r="B3" s="99" t="s">
        <v>24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9"/>
      <c r="J7" s="103"/>
    </row>
    <row r="8" spans="1:10" ht="12.75">
      <c r="A8" s="106" t="s">
        <v>285</v>
      </c>
      <c r="B8" s="107" t="s">
        <v>286</v>
      </c>
      <c r="C8" s="105">
        <v>17</v>
      </c>
      <c r="D8" s="108"/>
      <c r="E8" s="105"/>
      <c r="F8" s="105"/>
      <c r="G8" s="105">
        <v>1200000</v>
      </c>
      <c r="H8" s="107"/>
      <c r="I8" s="109"/>
      <c r="J8" s="105">
        <f>C8*G8/12*8</f>
        <v>13600000</v>
      </c>
    </row>
    <row r="9" spans="1:10" ht="12.75">
      <c r="A9" s="106"/>
      <c r="B9" s="107" t="s">
        <v>287</v>
      </c>
      <c r="C9" s="105"/>
      <c r="D9" s="108">
        <v>17</v>
      </c>
      <c r="E9" s="105"/>
      <c r="F9" s="105"/>
      <c r="G9" s="105">
        <v>1200000</v>
      </c>
      <c r="H9" s="107"/>
      <c r="I9" s="109"/>
      <c r="J9" s="105">
        <f>D9*G9/12*4</f>
        <v>6800000</v>
      </c>
    </row>
    <row r="10" spans="1:10" ht="12.75">
      <c r="A10" s="106" t="s">
        <v>103</v>
      </c>
      <c r="B10" s="107" t="s">
        <v>104</v>
      </c>
      <c r="C10" s="105">
        <v>16</v>
      </c>
      <c r="D10" s="108"/>
      <c r="E10" s="105"/>
      <c r="F10" s="105"/>
      <c r="G10" s="105">
        <v>6300</v>
      </c>
      <c r="H10" s="107"/>
      <c r="I10" s="109"/>
      <c r="J10" s="105">
        <f>C10*G10/12*8</f>
        <v>67200</v>
      </c>
    </row>
    <row r="11" spans="1:10" ht="12.75">
      <c r="A11" s="107"/>
      <c r="B11" s="107" t="s">
        <v>104</v>
      </c>
      <c r="C11" s="105"/>
      <c r="D11" s="108">
        <v>16</v>
      </c>
      <c r="E11" s="105"/>
      <c r="F11" s="105"/>
      <c r="G11" s="105">
        <v>6300</v>
      </c>
      <c r="H11" s="107"/>
      <c r="I11" s="109"/>
      <c r="J11" s="105">
        <f>D11*G11/12*4</f>
        <v>33600</v>
      </c>
    </row>
    <row r="12" spans="1:10" ht="12.75">
      <c r="A12" s="106"/>
      <c r="B12" s="107"/>
      <c r="C12" s="105"/>
      <c r="D12" s="108"/>
      <c r="E12" s="105"/>
      <c r="F12" s="105"/>
      <c r="G12" s="105"/>
      <c r="H12" s="107"/>
      <c r="I12" s="109"/>
      <c r="J12" s="105"/>
    </row>
    <row r="13" spans="1:10" ht="12.75">
      <c r="A13" s="107"/>
      <c r="B13" s="107"/>
      <c r="C13" s="105"/>
      <c r="D13" s="108"/>
      <c r="E13" s="105"/>
      <c r="F13" s="105"/>
      <c r="G13" s="105"/>
      <c r="H13" s="107"/>
      <c r="I13" s="107"/>
      <c r="J13" s="105"/>
    </row>
    <row r="14" spans="1:10" ht="12.75">
      <c r="A14" s="106"/>
      <c r="B14" s="112"/>
      <c r="C14" s="113"/>
      <c r="D14" s="114"/>
      <c r="E14" s="113"/>
      <c r="F14" s="113"/>
      <c r="G14" s="113"/>
      <c r="H14" s="112"/>
      <c r="I14" s="112"/>
      <c r="J14" s="113"/>
    </row>
    <row r="15" spans="1:10" ht="14.25">
      <c r="A15" s="128"/>
      <c r="B15" s="129" t="s">
        <v>29</v>
      </c>
      <c r="C15" s="113"/>
      <c r="D15" s="114"/>
      <c r="E15" s="113"/>
      <c r="F15" s="113"/>
      <c r="G15" s="113"/>
      <c r="H15" s="112"/>
      <c r="I15" s="112"/>
      <c r="J15" s="130">
        <f>SUM(J8:J14)</f>
        <v>20500800</v>
      </c>
    </row>
    <row r="16" spans="1:10" ht="12.75">
      <c r="A16" s="42"/>
      <c r="B16" s="147" t="s">
        <v>140</v>
      </c>
      <c r="C16" s="42"/>
      <c r="D16" s="132"/>
      <c r="E16" s="42"/>
      <c r="F16" s="42"/>
      <c r="G16" s="42"/>
      <c r="H16" s="42"/>
      <c r="I16" s="42"/>
      <c r="J16" s="105">
        <v>7500000</v>
      </c>
    </row>
    <row r="17" spans="1:10" ht="12.75">
      <c r="A17" s="42"/>
      <c r="B17" s="42"/>
      <c r="C17" s="42"/>
      <c r="D17" s="132"/>
      <c r="E17" s="42"/>
      <c r="F17" s="42"/>
      <c r="G17" s="42"/>
      <c r="H17" s="42"/>
      <c r="I17" s="42"/>
      <c r="J17" s="122">
        <f>J15-J16</f>
        <v>13000800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zoomScaleSheetLayoutView="100" workbookViewId="0" topLeftCell="A1">
      <pane ySplit="65535" topLeftCell="A1" activePane="topLeft" state="split"/>
      <selection pane="topLeft" activeCell="E4" sqref="E4"/>
      <selection pane="bottomLeft" activeCell="A1" sqref="A1"/>
    </sheetView>
  </sheetViews>
  <sheetFormatPr defaultColWidth="12.00390625" defaultRowHeight="12.75"/>
  <cols>
    <col min="1" max="1" width="45.875" style="0" customWidth="1"/>
    <col min="2" max="2" width="19.625" style="0" customWidth="1"/>
    <col min="3" max="3" width="21.375" style="0" customWidth="1"/>
    <col min="4" max="4" width="23.00390625" style="0" customWidth="1"/>
    <col min="5" max="16384" width="11.625" style="0" customWidth="1"/>
  </cols>
  <sheetData>
    <row r="1" spans="1:4" ht="24">
      <c r="A1" s="1" t="s">
        <v>7</v>
      </c>
      <c r="B1" s="1"/>
      <c r="C1" s="1"/>
      <c r="D1" s="1"/>
    </row>
    <row r="2" spans="1:4" ht="24">
      <c r="A2" s="21"/>
      <c r="B2" s="1" t="s">
        <v>8</v>
      </c>
      <c r="C2" s="22" t="s">
        <v>9</v>
      </c>
      <c r="D2" s="23" t="s">
        <v>10</v>
      </c>
    </row>
    <row r="3" spans="1:4" ht="19.5">
      <c r="A3" s="24" t="s">
        <v>1</v>
      </c>
      <c r="B3" s="3">
        <v>794787477</v>
      </c>
      <c r="C3" s="3">
        <v>481103160</v>
      </c>
      <c r="D3" s="3">
        <f>C3-B3</f>
        <v>-313684317</v>
      </c>
    </row>
    <row r="4" spans="1:4" ht="19.5">
      <c r="A4" s="24"/>
      <c r="B4" s="3"/>
      <c r="C4" s="3"/>
      <c r="D4" s="3"/>
    </row>
    <row r="5" spans="1:4" ht="19.5">
      <c r="A5" s="24" t="s">
        <v>2</v>
      </c>
      <c r="B5" s="3">
        <v>151794000</v>
      </c>
      <c r="C5" s="3">
        <v>158156030</v>
      </c>
      <c r="D5" s="3">
        <f>C5-B5</f>
        <v>6362030</v>
      </c>
    </row>
    <row r="6" spans="1:4" ht="19.5">
      <c r="A6" s="24"/>
      <c r="B6" s="3"/>
      <c r="C6" s="3"/>
      <c r="D6" s="3"/>
    </row>
    <row r="7" spans="1:4" ht="19.5">
      <c r="A7" s="24" t="s">
        <v>3</v>
      </c>
      <c r="B7" s="3">
        <v>1299657953</v>
      </c>
      <c r="C7" s="3">
        <v>1144860284</v>
      </c>
      <c r="D7" s="3">
        <f>C7-B7</f>
        <v>-154797669</v>
      </c>
    </row>
    <row r="8" spans="1:4" ht="19.5">
      <c r="A8" s="24"/>
      <c r="B8" s="25"/>
      <c r="C8" s="3"/>
      <c r="D8" s="3"/>
    </row>
    <row r="9" spans="1:4" ht="19.5">
      <c r="A9" s="26" t="s">
        <v>11</v>
      </c>
      <c r="B9" s="27">
        <f>B3+B5+B7</f>
        <v>2246239430</v>
      </c>
      <c r="C9" s="27">
        <f>C3+C5+C7</f>
        <v>1784119474</v>
      </c>
      <c r="D9" s="27">
        <f>D3+D5+D7</f>
        <v>-462119956</v>
      </c>
    </row>
    <row r="12" spans="1:4" ht="17.25">
      <c r="A12" s="28"/>
      <c r="B12" s="28"/>
      <c r="C12" s="28"/>
      <c r="D12" s="28"/>
    </row>
    <row r="13" spans="1:4" ht="17.25" customHeight="1">
      <c r="A13" s="28"/>
      <c r="B13" s="29" t="s">
        <v>12</v>
      </c>
      <c r="C13" s="30"/>
      <c r="D13" s="30"/>
    </row>
    <row r="14" spans="1:4" ht="17.25">
      <c r="A14" s="28"/>
      <c r="B14" s="29"/>
      <c r="C14" s="30"/>
      <c r="D14" s="30"/>
    </row>
    <row r="15" spans="1:4" ht="17.25">
      <c r="A15" s="28"/>
      <c r="B15" s="30"/>
      <c r="C15" s="30" t="s">
        <v>13</v>
      </c>
      <c r="D15" s="31">
        <v>248381768</v>
      </c>
    </row>
    <row r="16" spans="1:4" ht="17.25">
      <c r="A16" s="28"/>
      <c r="B16" s="30"/>
      <c r="C16" s="30" t="s">
        <v>14</v>
      </c>
      <c r="D16" s="31">
        <v>9500000</v>
      </c>
    </row>
    <row r="17" spans="1:4" ht="17.25">
      <c r="A17" s="28"/>
      <c r="B17" s="30"/>
      <c r="C17" s="30" t="s">
        <v>15</v>
      </c>
      <c r="D17" s="31">
        <v>70000000</v>
      </c>
    </row>
    <row r="18" spans="1:4" ht="17.25">
      <c r="A18" s="28"/>
      <c r="B18" s="32"/>
      <c r="C18" s="32"/>
      <c r="D18" s="32"/>
    </row>
    <row r="19" spans="1:4" ht="17.25">
      <c r="A19" s="28"/>
      <c r="B19" s="33" t="s">
        <v>16</v>
      </c>
      <c r="C19" s="33"/>
      <c r="D19" s="34">
        <f>D9+D15+D16+D17</f>
        <v>-134238188</v>
      </c>
    </row>
  </sheetData>
  <sheetProtection selectLockedCells="1" selectUnlockedCells="1"/>
  <mergeCells count="2">
    <mergeCell ref="A1:D1"/>
    <mergeCell ref="B13:B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zoomScale="90" zoomScaleNormal="90" zoomScaleSheetLayoutView="100" workbookViewId="0" topLeftCell="A1">
      <pane ySplit="65535" topLeftCell="A1" activePane="topLeft" state="split"/>
      <selection pane="topLeft" activeCell="E7" sqref="E7"/>
      <selection pane="bottomLeft" activeCell="A1" sqref="A1"/>
    </sheetView>
  </sheetViews>
  <sheetFormatPr defaultColWidth="12.00390625" defaultRowHeight="12.75"/>
  <cols>
    <col min="1" max="1" width="29.00390625" style="0" customWidth="1"/>
    <col min="2" max="2" width="13.875" style="0" customWidth="1"/>
    <col min="3" max="3" width="15.00390625" style="0" customWidth="1"/>
    <col min="4" max="4" width="15.125" style="0" customWidth="1"/>
    <col min="5" max="16384" width="11.625" style="0" customWidth="1"/>
  </cols>
  <sheetData>
    <row r="2" spans="1:4" ht="14.25" customHeight="1">
      <c r="A2" s="35" t="s">
        <v>17</v>
      </c>
      <c r="B2" s="36" t="s">
        <v>18</v>
      </c>
      <c r="C2" s="36"/>
      <c r="D2" s="36"/>
    </row>
    <row r="3" spans="1:4" ht="15.75">
      <c r="A3" s="35"/>
      <c r="B3" s="37" t="s">
        <v>8</v>
      </c>
      <c r="C3" s="38" t="s">
        <v>9</v>
      </c>
      <c r="D3" s="39" t="s">
        <v>10</v>
      </c>
    </row>
    <row r="4" spans="1:4" ht="14.25">
      <c r="A4" s="40" t="s">
        <v>19</v>
      </c>
      <c r="B4" s="41">
        <v>140117867</v>
      </c>
      <c r="C4" s="42">
        <v>130224467</v>
      </c>
      <c r="D4" s="25">
        <f>C4-B4</f>
        <v>-9893400</v>
      </c>
    </row>
    <row r="5" spans="1:4" ht="14.25">
      <c r="A5" s="40" t="s">
        <v>20</v>
      </c>
      <c r="B5" s="41">
        <v>86802287</v>
      </c>
      <c r="C5" s="42">
        <v>86360837</v>
      </c>
      <c r="D5" s="25">
        <f>C5-B5</f>
        <v>-441450</v>
      </c>
    </row>
    <row r="6" spans="1:4" ht="14.25">
      <c r="A6" s="40" t="s">
        <v>21</v>
      </c>
      <c r="B6" s="41">
        <v>36082526</v>
      </c>
      <c r="C6" s="42">
        <v>33638283</v>
      </c>
      <c r="D6" s="25">
        <f>C6-B6</f>
        <v>-2444243</v>
      </c>
    </row>
    <row r="7" spans="1:4" ht="14.25">
      <c r="A7" s="43" t="s">
        <v>22</v>
      </c>
      <c r="B7" s="44">
        <v>245212938</v>
      </c>
      <c r="C7" s="42">
        <v>173464414</v>
      </c>
      <c r="D7" s="25">
        <f>C7-B7</f>
        <v>-71748524</v>
      </c>
    </row>
    <row r="8" spans="1:4" ht="14.25">
      <c r="A8" s="40" t="s">
        <v>23</v>
      </c>
      <c r="B8" s="41">
        <v>30697300</v>
      </c>
      <c r="C8" s="42">
        <v>33400867</v>
      </c>
      <c r="D8" s="25">
        <f>C8-B8</f>
        <v>2703567</v>
      </c>
    </row>
    <row r="9" spans="1:4" ht="14.25">
      <c r="A9" s="40" t="s">
        <v>24</v>
      </c>
      <c r="B9" s="41">
        <v>10894500</v>
      </c>
      <c r="C9" s="42">
        <v>20500800</v>
      </c>
      <c r="D9" s="25">
        <f>C9-B9</f>
        <v>9606300</v>
      </c>
    </row>
    <row r="10" spans="1:4" ht="14.25">
      <c r="A10" s="43" t="s">
        <v>25</v>
      </c>
      <c r="B10" s="44">
        <v>442488533</v>
      </c>
      <c r="C10" s="42">
        <v>355237306</v>
      </c>
      <c r="D10" s="25">
        <f>C10-B10</f>
        <v>-87251227</v>
      </c>
    </row>
    <row r="11" spans="1:4" ht="14.25">
      <c r="A11" s="43" t="s">
        <v>26</v>
      </c>
      <c r="B11" s="44">
        <v>307362002</v>
      </c>
      <c r="C11" s="42">
        <v>312033310</v>
      </c>
      <c r="D11" s="25">
        <f>C11-B11</f>
        <v>4671308</v>
      </c>
    </row>
    <row r="12" spans="1:4" ht="14.25">
      <c r="A12" s="45"/>
      <c r="B12" s="46"/>
      <c r="C12" s="42"/>
      <c r="D12" s="42"/>
    </row>
    <row r="13" spans="1:4" ht="14.25">
      <c r="A13" s="47" t="s">
        <v>27</v>
      </c>
      <c r="B13" s="48">
        <f>SUM(B4:B12)</f>
        <v>1299657953</v>
      </c>
      <c r="C13" s="48">
        <f>SUM(C4:C12)</f>
        <v>1144860284</v>
      </c>
      <c r="D13" s="49">
        <f>C13-B13</f>
        <v>-154797669</v>
      </c>
    </row>
    <row r="17" spans="1:4" ht="14.25">
      <c r="A17" s="50" t="s">
        <v>28</v>
      </c>
      <c r="B17" s="50" t="s">
        <v>8</v>
      </c>
      <c r="C17" s="50" t="s">
        <v>9</v>
      </c>
      <c r="D17" s="50" t="s">
        <v>10</v>
      </c>
    </row>
    <row r="18" spans="1:4" ht="14.25">
      <c r="A18" s="50"/>
      <c r="B18" s="50"/>
      <c r="C18" s="50"/>
      <c r="D18" s="50"/>
    </row>
    <row r="19" spans="1:4" ht="14.25">
      <c r="A19" s="51" t="s">
        <v>29</v>
      </c>
      <c r="B19" s="52">
        <f>B20+B21</f>
        <v>151794000</v>
      </c>
      <c r="C19" s="53">
        <f>C20+C21</f>
        <v>158156030</v>
      </c>
      <c r="D19" s="53">
        <f>C19-B19</f>
        <v>6362030</v>
      </c>
    </row>
    <row r="20" spans="1:4" ht="14.25">
      <c r="A20" s="40" t="s">
        <v>30</v>
      </c>
      <c r="B20" s="25">
        <v>130906600</v>
      </c>
      <c r="C20" s="25">
        <v>158156030</v>
      </c>
      <c r="D20" s="25">
        <f>C20-B20</f>
        <v>27249430</v>
      </c>
    </row>
    <row r="21" spans="1:4" ht="14.25">
      <c r="A21" s="40" t="s">
        <v>31</v>
      </c>
      <c r="B21" s="25">
        <v>20887400</v>
      </c>
      <c r="C21" s="25">
        <v>0</v>
      </c>
      <c r="D21" s="25">
        <f>C21-B21</f>
        <v>-20887400</v>
      </c>
    </row>
  </sheetData>
  <sheetProtection selectLockedCells="1" selectUnlockedCells="1"/>
  <mergeCells count="6">
    <mergeCell ref="A2:A3"/>
    <mergeCell ref="B2:D2"/>
    <mergeCell ref="A17:A18"/>
    <mergeCell ref="B17:B18"/>
    <mergeCell ref="C17:C18"/>
    <mergeCell ref="D17:D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SheetLayoutView="100" workbookViewId="0" topLeftCell="A1">
      <pane ySplit="65535" topLeftCell="A1" activePane="topLeft" state="split"/>
      <selection pane="topLeft" activeCell="K22" sqref="K22"/>
      <selection pane="bottomLeft" activeCell="A1" sqref="A1"/>
    </sheetView>
  </sheetViews>
  <sheetFormatPr defaultColWidth="12.00390625" defaultRowHeight="21" customHeight="1"/>
  <cols>
    <col min="1" max="5" width="11.625" style="0" customWidth="1"/>
    <col min="6" max="6" width="8.125" style="0" customWidth="1"/>
    <col min="7" max="7" width="12.875" style="0" customWidth="1"/>
    <col min="8" max="8" width="15.00390625" style="0" customWidth="1"/>
    <col min="9" max="9" width="14.125" style="0" customWidth="1"/>
    <col min="10" max="16384" width="11.625" style="0" customWidth="1"/>
  </cols>
  <sheetData>
    <row r="1" spans="1:9" ht="21" customHeight="1">
      <c r="A1" s="54" t="s">
        <v>32</v>
      </c>
      <c r="B1" s="54"/>
      <c r="C1" s="54"/>
      <c r="D1" s="54"/>
      <c r="E1" s="54"/>
      <c r="F1" s="54"/>
      <c r="G1" s="54" t="s">
        <v>8</v>
      </c>
      <c r="H1" s="54" t="s">
        <v>9</v>
      </c>
      <c r="I1" s="54" t="s">
        <v>10</v>
      </c>
    </row>
    <row r="2" spans="1:9" ht="21" customHeight="1">
      <c r="A2" s="55" t="s">
        <v>33</v>
      </c>
      <c r="B2" s="55"/>
      <c r="C2" s="55"/>
      <c r="D2" s="55"/>
      <c r="E2" s="55"/>
      <c r="F2" s="55"/>
      <c r="G2" s="56">
        <v>49360194</v>
      </c>
      <c r="H2" s="56">
        <v>72028320</v>
      </c>
      <c r="I2" s="56">
        <f>H2-G2</f>
        <v>22668126</v>
      </c>
    </row>
    <row r="3" spans="1:9" ht="21" customHeight="1">
      <c r="A3" s="57" t="s">
        <v>34</v>
      </c>
      <c r="B3" s="57"/>
      <c r="C3" s="57"/>
      <c r="D3" s="57"/>
      <c r="E3" s="57"/>
      <c r="F3" s="57"/>
      <c r="G3" s="25">
        <v>32264427</v>
      </c>
      <c r="H3" s="25">
        <v>32934322</v>
      </c>
      <c r="I3" s="25">
        <f>H3-G3</f>
        <v>669895</v>
      </c>
    </row>
    <row r="4" spans="1:9" ht="21" customHeight="1">
      <c r="A4" s="57" t="s">
        <v>35</v>
      </c>
      <c r="B4" s="57"/>
      <c r="C4" s="57"/>
      <c r="D4" s="57"/>
      <c r="E4" s="57"/>
      <c r="F4" s="57"/>
      <c r="G4" s="25">
        <v>3300000</v>
      </c>
      <c r="H4" s="25">
        <v>3000000</v>
      </c>
      <c r="I4" s="25">
        <f>H4-G4</f>
        <v>-300000</v>
      </c>
    </row>
    <row r="5" spans="1:9" ht="21" customHeight="1">
      <c r="A5" s="57" t="s">
        <v>36</v>
      </c>
      <c r="B5" s="57"/>
      <c r="C5" s="57"/>
      <c r="D5" s="57"/>
      <c r="E5" s="57"/>
      <c r="F5" s="57"/>
      <c r="G5" s="25">
        <v>250000</v>
      </c>
      <c r="H5" s="25">
        <v>0</v>
      </c>
      <c r="I5" s="25">
        <f>H5-G5</f>
        <v>-250000</v>
      </c>
    </row>
    <row r="6" spans="1:9" ht="21" customHeight="1">
      <c r="A6" s="57" t="s">
        <v>37</v>
      </c>
      <c r="B6" s="57"/>
      <c r="C6" s="57"/>
      <c r="D6" s="57"/>
      <c r="E6" s="57"/>
      <c r="F6" s="57"/>
      <c r="G6" s="25">
        <v>491056</v>
      </c>
      <c r="H6" s="25">
        <v>472772</v>
      </c>
      <c r="I6" s="25">
        <f>H6-G6</f>
        <v>-18284</v>
      </c>
    </row>
    <row r="7" spans="1:9" ht="21" customHeight="1">
      <c r="A7" s="57" t="s">
        <v>38</v>
      </c>
      <c r="B7" s="57"/>
      <c r="C7" s="57"/>
      <c r="D7" s="57"/>
      <c r="E7" s="57"/>
      <c r="F7" s="57"/>
      <c r="G7" s="25">
        <v>121573320</v>
      </c>
      <c r="H7" s="25">
        <v>144573862</v>
      </c>
      <c r="I7" s="25">
        <f>H7-G7</f>
        <v>23000542</v>
      </c>
    </row>
    <row r="8" spans="1:9" ht="21" customHeight="1">
      <c r="A8" s="57" t="s">
        <v>39</v>
      </c>
      <c r="B8" s="57"/>
      <c r="C8" s="57"/>
      <c r="D8" s="57"/>
      <c r="E8" s="57"/>
      <c r="F8" s="57"/>
      <c r="G8" s="25">
        <v>248381768</v>
      </c>
      <c r="H8" s="25">
        <v>0</v>
      </c>
      <c r="I8" s="25">
        <f>H8-G8</f>
        <v>-248381768</v>
      </c>
    </row>
    <row r="9" spans="1:9" ht="21" customHeight="1">
      <c r="A9" s="58" t="s">
        <v>29</v>
      </c>
      <c r="B9" s="58"/>
      <c r="C9" s="58"/>
      <c r="D9" s="58"/>
      <c r="E9" s="58"/>
      <c r="F9" s="58"/>
      <c r="G9" s="52">
        <f>SUM(G2:G8)</f>
        <v>455620765</v>
      </c>
      <c r="H9" s="52">
        <f>SUM(H2:H8)</f>
        <v>253009276</v>
      </c>
      <c r="I9" s="52">
        <f>SUM(I2:I8)</f>
        <v>-202611489</v>
      </c>
    </row>
    <row r="10" spans="1:6" ht="21" customHeight="1">
      <c r="A10" s="59"/>
      <c r="B10" s="59"/>
      <c r="C10" s="59"/>
      <c r="D10" s="59"/>
      <c r="E10" s="59"/>
      <c r="F10" s="59"/>
    </row>
    <row r="12" spans="1:9" ht="21" customHeight="1">
      <c r="A12" s="60" t="s">
        <v>40</v>
      </c>
      <c r="B12" s="60"/>
      <c r="C12" s="60"/>
      <c r="D12" s="60"/>
      <c r="E12" s="60"/>
      <c r="F12" s="60"/>
      <c r="G12" s="54" t="s">
        <v>8</v>
      </c>
      <c r="H12" s="54" t="s">
        <v>9</v>
      </c>
      <c r="I12" s="54" t="s">
        <v>10</v>
      </c>
    </row>
    <row r="13" spans="1:9" ht="21" customHeight="1">
      <c r="A13" s="61" t="s">
        <v>41</v>
      </c>
      <c r="B13" s="61"/>
      <c r="C13" s="61"/>
      <c r="D13" s="61"/>
      <c r="E13" s="61"/>
      <c r="F13" s="61"/>
      <c r="G13" s="62">
        <v>205245760</v>
      </c>
      <c r="H13" s="62">
        <v>183921440</v>
      </c>
      <c r="I13" s="62">
        <f>H13-G13</f>
        <v>-21324320</v>
      </c>
    </row>
    <row r="14" spans="1:9" ht="21" customHeight="1">
      <c r="A14" s="63" t="s">
        <v>42</v>
      </c>
      <c r="B14" s="63"/>
      <c r="C14" s="63"/>
      <c r="D14" s="63"/>
      <c r="E14" s="63"/>
      <c r="F14" s="63"/>
      <c r="G14" s="64">
        <v>133920952</v>
      </c>
      <c r="H14" s="64">
        <v>44172444</v>
      </c>
      <c r="I14" s="64">
        <f>H14-G14</f>
        <v>-89748508</v>
      </c>
    </row>
    <row r="15" spans="1:9" ht="21" customHeight="1">
      <c r="A15" s="65" t="s">
        <v>43</v>
      </c>
      <c r="B15" s="65"/>
      <c r="C15" s="65"/>
      <c r="D15" s="65"/>
      <c r="E15" s="65"/>
      <c r="F15" s="65"/>
      <c r="G15" s="52">
        <f>G13+G14</f>
        <v>339166712</v>
      </c>
      <c r="H15" s="52">
        <f>H13+H14</f>
        <v>228093884</v>
      </c>
      <c r="I15" s="52">
        <f>H15-G15</f>
        <v>-111072828</v>
      </c>
    </row>
    <row r="16" spans="1:4" ht="21" customHeight="1">
      <c r="A16" s="66"/>
      <c r="B16" s="66"/>
      <c r="C16" s="66"/>
      <c r="D16" s="66"/>
    </row>
    <row r="17" spans="1:4" ht="21" customHeight="1">
      <c r="A17" s="67"/>
      <c r="B17" s="67"/>
      <c r="C17" s="67"/>
      <c r="D17" s="67"/>
    </row>
    <row r="18" spans="1:9" ht="21" customHeight="1">
      <c r="A18" s="66"/>
      <c r="B18" s="66"/>
      <c r="C18" s="66"/>
      <c r="D18" s="66"/>
      <c r="G18" s="54" t="s">
        <v>8</v>
      </c>
      <c r="H18" s="54" t="s">
        <v>9</v>
      </c>
      <c r="I18" s="54" t="s">
        <v>10</v>
      </c>
    </row>
    <row r="19" spans="1:9" ht="21" customHeight="1">
      <c r="A19" s="68" t="s">
        <v>44</v>
      </c>
      <c r="B19" s="68"/>
      <c r="C19" s="68"/>
      <c r="D19" s="68"/>
      <c r="E19" s="68"/>
      <c r="F19" s="68"/>
      <c r="G19" s="69">
        <f>G2+G3+G4+G5+G6+G7+G8+G15</f>
        <v>794787477</v>
      </c>
      <c r="H19" s="69">
        <f>H2+H3+H4+H5+H6+H7+H8+H15</f>
        <v>481103160</v>
      </c>
      <c r="I19" s="69">
        <f>I2+I3+I4+I5+I6+I7+I8+I15</f>
        <v>-313684317</v>
      </c>
    </row>
  </sheetData>
  <sheetProtection selectLockedCells="1" selectUnlockedCells="1"/>
  <mergeCells count="15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2:F12"/>
    <mergeCell ref="A13:F13"/>
    <mergeCell ref="A14:F14"/>
    <mergeCell ref="A15:F15"/>
    <mergeCell ref="A17:D17"/>
    <mergeCell ref="A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="90" zoomScaleNormal="90" zoomScaleSheetLayoutView="100" workbookViewId="0" topLeftCell="A43">
      <pane ySplit="65535" topLeftCell="A43" activePane="topLeft" state="split"/>
      <selection pane="topLeft" activeCell="E86" sqref="E86"/>
      <selection pane="bottomLeft" activeCell="A43" sqref="A43"/>
    </sheetView>
  </sheetViews>
  <sheetFormatPr defaultColWidth="9.00390625" defaultRowHeight="12.75"/>
  <cols>
    <col min="3" max="3" width="18.00390625" style="0" customWidth="1"/>
    <col min="4" max="4" width="16.625" style="0" customWidth="1"/>
    <col min="5" max="5" width="18.25390625" style="0" customWidth="1"/>
    <col min="6" max="6" width="11.625" style="0" customWidth="1"/>
    <col min="7" max="7" width="12.125" style="0" customWidth="1"/>
  </cols>
  <sheetData>
    <row r="1" spans="3:5" ht="27" customHeight="1">
      <c r="C1" s="70" t="s">
        <v>45</v>
      </c>
      <c r="D1" s="70"/>
      <c r="E1" s="70"/>
    </row>
    <row r="2" spans="3:6" ht="15">
      <c r="C2" t="s">
        <v>46</v>
      </c>
      <c r="F2" s="28"/>
    </row>
    <row r="3" spans="2:4" ht="12.75">
      <c r="B3" s="71" t="s">
        <v>33</v>
      </c>
      <c r="C3" s="71"/>
      <c r="D3" s="71"/>
    </row>
    <row r="6" spans="3:5" ht="18" customHeight="1">
      <c r="C6" s="60" t="s">
        <v>47</v>
      </c>
      <c r="D6" s="60" t="s">
        <v>48</v>
      </c>
      <c r="E6" s="60" t="s">
        <v>43</v>
      </c>
    </row>
    <row r="7" spans="3:5" ht="14.25">
      <c r="C7" s="72"/>
      <c r="D7" s="72">
        <v>17680</v>
      </c>
      <c r="E7" s="73">
        <v>72028320</v>
      </c>
    </row>
    <row r="10" spans="2:4" ht="13.5">
      <c r="B10" s="71" t="s">
        <v>34</v>
      </c>
      <c r="C10" s="71"/>
      <c r="D10" s="71"/>
    </row>
    <row r="11" spans="3:5" ht="21" customHeight="1">
      <c r="C11" s="60" t="s">
        <v>47</v>
      </c>
      <c r="D11" s="60" t="s">
        <v>49</v>
      </c>
      <c r="E11" s="60" t="s">
        <v>43</v>
      </c>
    </row>
    <row r="12" spans="1:5" ht="12.75">
      <c r="A12" s="74" t="s">
        <v>50</v>
      </c>
      <c r="B12" s="74"/>
      <c r="C12" s="72">
        <v>3000000</v>
      </c>
      <c r="D12" s="72">
        <v>1</v>
      </c>
      <c r="E12" s="75">
        <f>C12*D12</f>
        <v>3000000</v>
      </c>
    </row>
    <row r="13" spans="1:5" ht="14.25">
      <c r="A13" s="74" t="s">
        <v>51</v>
      </c>
      <c r="B13" s="74"/>
      <c r="C13" s="72">
        <f>E13/D13</f>
        <v>276</v>
      </c>
      <c r="D13" s="72">
        <v>29908</v>
      </c>
      <c r="E13" s="75">
        <v>8254608</v>
      </c>
    </row>
    <row r="14" spans="1:5" ht="14.25">
      <c r="A14" s="74" t="s">
        <v>52</v>
      </c>
      <c r="B14" s="74"/>
      <c r="C14" s="72">
        <f>E14/D14</f>
        <v>28600</v>
      </c>
      <c r="D14" s="72">
        <v>477</v>
      </c>
      <c r="E14" s="75">
        <v>13642200</v>
      </c>
    </row>
    <row r="15" spans="1:5" ht="14.25">
      <c r="A15" s="76" t="s">
        <v>53</v>
      </c>
      <c r="B15" s="76"/>
      <c r="C15" s="72" t="s">
        <v>54</v>
      </c>
      <c r="D15" s="72">
        <v>58232</v>
      </c>
      <c r="E15" s="75">
        <v>3260992</v>
      </c>
    </row>
    <row r="16" spans="1:5" ht="14.25">
      <c r="A16" s="76" t="s">
        <v>55</v>
      </c>
      <c r="B16" s="76"/>
      <c r="C16" s="72">
        <v>7729</v>
      </c>
      <c r="D16" s="72">
        <v>618</v>
      </c>
      <c r="E16" s="75">
        <v>4776522</v>
      </c>
    </row>
    <row r="17" spans="1:5" ht="12.75">
      <c r="A17" s="77"/>
      <c r="B17" s="78"/>
      <c r="C17" s="72" t="s">
        <v>56</v>
      </c>
      <c r="D17" s="72"/>
      <c r="E17" s="79">
        <f>SUM(E12:E16)</f>
        <v>32934322</v>
      </c>
    </row>
    <row r="18" ht="12.75">
      <c r="E18" s="80"/>
    </row>
    <row r="19" ht="12.75" hidden="1">
      <c r="G19" s="81"/>
    </row>
    <row r="20" spans="2:4" ht="12.75" hidden="1">
      <c r="B20" s="71" t="s">
        <v>57</v>
      </c>
      <c r="C20" s="71"/>
      <c r="D20" s="71"/>
    </row>
    <row r="22" spans="3:5" ht="12.75" customHeight="1" hidden="1">
      <c r="C22" s="60" t="s">
        <v>47</v>
      </c>
      <c r="D22" s="82" t="s">
        <v>58</v>
      </c>
      <c r="E22" s="82" t="s">
        <v>43</v>
      </c>
    </row>
    <row r="23" spans="3:5" ht="12.75" customHeight="1" hidden="1">
      <c r="C23" s="83">
        <v>3800</v>
      </c>
      <c r="D23" s="72">
        <v>180</v>
      </c>
      <c r="E23" s="73">
        <v>684000</v>
      </c>
    </row>
    <row r="26" spans="2:4" ht="13.5">
      <c r="B26" s="71" t="s">
        <v>35</v>
      </c>
      <c r="C26" s="71"/>
      <c r="D26" s="71"/>
    </row>
    <row r="27" spans="3:5" ht="17.25" customHeight="1">
      <c r="C27" s="60" t="s">
        <v>47</v>
      </c>
      <c r="D27" s="60" t="s">
        <v>59</v>
      </c>
      <c r="E27" s="60" t="s">
        <v>43</v>
      </c>
    </row>
    <row r="28" spans="3:5" ht="13.5">
      <c r="C28" s="84">
        <v>1.5</v>
      </c>
      <c r="D28" s="25">
        <v>2000000</v>
      </c>
      <c r="E28" s="73">
        <f>C28*D28</f>
        <v>3000000</v>
      </c>
    </row>
    <row r="29" ht="14.25">
      <c r="E29" s="85"/>
    </row>
    <row r="30" ht="12.75" hidden="1">
      <c r="E30" s="86">
        <f>C30*D30</f>
        <v>0</v>
      </c>
    </row>
    <row r="31" spans="2:5" ht="12.75" hidden="1">
      <c r="B31" s="71" t="s">
        <v>60</v>
      </c>
      <c r="C31" s="71"/>
      <c r="D31" s="71"/>
      <c r="E31" s="73">
        <f>C31*D31</f>
        <v>0</v>
      </c>
    </row>
    <row r="32" ht="12.75" hidden="1">
      <c r="E32" s="73">
        <f>C32*D32</f>
        <v>0</v>
      </c>
    </row>
    <row r="33" spans="3:5" ht="12.75" customHeight="1" hidden="1">
      <c r="C33" s="60" t="s">
        <v>47</v>
      </c>
      <c r="D33" s="60" t="s">
        <v>48</v>
      </c>
      <c r="E33" s="73" t="e">
        <f>C33*D33</f>
        <v>#VALUE!</v>
      </c>
    </row>
    <row r="34" spans="1:5" ht="12.75" hidden="1">
      <c r="A34" s="74" t="s">
        <v>61</v>
      </c>
      <c r="B34" s="74"/>
      <c r="C34" s="25">
        <v>82000</v>
      </c>
      <c r="D34" s="25">
        <v>75</v>
      </c>
      <c r="E34" s="73">
        <f>C34*D34</f>
        <v>6150000</v>
      </c>
    </row>
    <row r="35" spans="1:5" ht="12.75" hidden="1">
      <c r="A35" s="74" t="s">
        <v>62</v>
      </c>
      <c r="B35" s="74"/>
      <c r="C35" s="25">
        <v>0</v>
      </c>
      <c r="D35" s="25">
        <v>176</v>
      </c>
      <c r="E35" s="73">
        <f>C35*D35</f>
        <v>0</v>
      </c>
    </row>
    <row r="36" spans="1:5" ht="12.75" hidden="1">
      <c r="A36" s="74"/>
      <c r="B36" s="74"/>
      <c r="C36" s="25"/>
      <c r="D36" s="25"/>
      <c r="E36" s="73">
        <f>C36*D36</f>
        <v>0</v>
      </c>
    </row>
    <row r="37" spans="1:5" ht="12.75" hidden="1">
      <c r="A37" s="74" t="s">
        <v>63</v>
      </c>
      <c r="B37" s="74"/>
      <c r="C37" s="25"/>
      <c r="D37" s="25">
        <v>302</v>
      </c>
      <c r="E37" s="73">
        <f>C37*D37</f>
        <v>0</v>
      </c>
    </row>
    <row r="38" spans="1:5" ht="12.75" hidden="1">
      <c r="A38" s="87" t="s">
        <v>64</v>
      </c>
      <c r="B38" s="87"/>
      <c r="C38" s="25">
        <v>8000000</v>
      </c>
      <c r="D38" s="25">
        <v>12</v>
      </c>
      <c r="E38" s="73">
        <f>C38*D38</f>
        <v>96000000</v>
      </c>
    </row>
    <row r="39" spans="1:5" ht="12.75" hidden="1">
      <c r="A39" s="87" t="s">
        <v>65</v>
      </c>
      <c r="B39" s="87"/>
      <c r="C39" s="6"/>
      <c r="D39" s="6">
        <v>18370</v>
      </c>
      <c r="E39" s="73">
        <f>C39*D39</f>
        <v>0</v>
      </c>
    </row>
    <row r="40" spans="1:5" ht="12.75" hidden="1">
      <c r="A40" s="87" t="s">
        <v>66</v>
      </c>
      <c r="B40" s="87"/>
      <c r="C40" s="6"/>
      <c r="D40" s="6">
        <v>18370</v>
      </c>
      <c r="E40" s="73">
        <f>C40*D40</f>
        <v>0</v>
      </c>
    </row>
    <row r="41" spans="3:5" ht="12.75" hidden="1">
      <c r="C41" s="88" t="s">
        <v>56</v>
      </c>
      <c r="D41" s="25"/>
      <c r="E41" s="73" t="e">
        <f>C41*D41</f>
        <v>#VALUE!</v>
      </c>
    </row>
    <row r="42" spans="2:5" ht="14.25" hidden="1">
      <c r="B42" s="66"/>
      <c r="C42" s="89"/>
      <c r="D42" s="89"/>
      <c r="E42" s="86">
        <f>C42*D42</f>
        <v>0</v>
      </c>
    </row>
    <row r="43" spans="2:5" ht="14.25">
      <c r="B43" s="66"/>
      <c r="C43" s="90"/>
      <c r="D43" s="90"/>
      <c r="E43" s="85"/>
    </row>
    <row r="44" spans="2:5" ht="14.25">
      <c r="B44" s="71" t="s">
        <v>37</v>
      </c>
      <c r="C44" s="71"/>
      <c r="D44" s="71"/>
      <c r="E44" s="85"/>
    </row>
    <row r="45" ht="14.25">
      <c r="E45" s="85"/>
    </row>
    <row r="46" spans="3:5" ht="38.25">
      <c r="C46" s="60" t="s">
        <v>47</v>
      </c>
      <c r="D46" s="82" t="s">
        <v>58</v>
      </c>
      <c r="E46" s="73"/>
    </row>
    <row r="47" spans="3:5" ht="14.25">
      <c r="C47" s="83">
        <v>2612</v>
      </c>
      <c r="D47" s="72">
        <v>181</v>
      </c>
      <c r="E47" s="73">
        <f>C47*D47</f>
        <v>472772</v>
      </c>
    </row>
    <row r="48" spans="2:4" ht="14.25" hidden="1">
      <c r="B48" s="71" t="s">
        <v>57</v>
      </c>
      <c r="C48" s="71"/>
      <c r="D48" s="71"/>
    </row>
    <row r="49" spans="2:4" ht="14.25">
      <c r="B49" s="71"/>
      <c r="C49" s="71"/>
      <c r="D49" s="71"/>
    </row>
    <row r="50" spans="1:6" ht="14.25">
      <c r="A50" s="66"/>
      <c r="B50" s="71" t="s">
        <v>38</v>
      </c>
      <c r="C50" s="71"/>
      <c r="D50" s="71"/>
      <c r="E50" s="71"/>
      <c r="F50" s="71"/>
    </row>
    <row r="51" ht="14.25">
      <c r="A51" s="66"/>
    </row>
    <row r="52" spans="1:5" ht="16.5" customHeight="1">
      <c r="A52" s="66"/>
      <c r="C52" s="60" t="s">
        <v>47</v>
      </c>
      <c r="D52" s="60" t="s">
        <v>49</v>
      </c>
      <c r="E52" s="60" t="s">
        <v>43</v>
      </c>
    </row>
    <row r="53" spans="1:5" ht="14.25">
      <c r="A53" s="66"/>
      <c r="C53" s="25"/>
      <c r="D53" s="25"/>
      <c r="E53" s="73">
        <v>144573862</v>
      </c>
    </row>
    <row r="54" ht="14.25">
      <c r="A54" s="66"/>
    </row>
    <row r="55" ht="14.25" hidden="1">
      <c r="A55" s="66"/>
    </row>
    <row r="56" spans="1:5" ht="14.25" hidden="1">
      <c r="A56" s="66"/>
      <c r="B56" s="71"/>
      <c r="C56" s="71"/>
      <c r="D56" s="71"/>
      <c r="E56" s="71"/>
    </row>
    <row r="57" ht="14.25" hidden="1">
      <c r="A57" s="66"/>
    </row>
    <row r="58" spans="1:5" ht="12.75" customHeight="1" hidden="1">
      <c r="A58" s="66"/>
      <c r="C58" s="91"/>
      <c r="D58" s="91"/>
      <c r="E58" s="91"/>
    </row>
    <row r="59" spans="1:5" ht="14.25" hidden="1">
      <c r="A59" s="66"/>
      <c r="B59" s="66"/>
      <c r="C59" s="92"/>
      <c r="D59" s="92"/>
      <c r="E59" s="85"/>
    </row>
    <row r="60" spans="1:5" ht="14.25" hidden="1">
      <c r="A60" s="66"/>
      <c r="B60" s="66"/>
      <c r="C60" s="66"/>
      <c r="D60" s="66"/>
      <c r="E60" s="66"/>
    </row>
    <row r="61" spans="1:5" ht="14.25">
      <c r="A61" s="66"/>
      <c r="B61" s="66"/>
      <c r="C61" s="66"/>
      <c r="D61" s="66"/>
      <c r="E61" s="66"/>
    </row>
    <row r="62" spans="2:5" ht="14.25">
      <c r="B62" s="67" t="s">
        <v>67</v>
      </c>
      <c r="C62" s="67"/>
      <c r="D62" s="67"/>
      <c r="E62" s="67"/>
    </row>
    <row r="63" spans="2:6" ht="15.75" customHeight="1">
      <c r="B63" s="66"/>
      <c r="C63" s="93" t="s">
        <v>47</v>
      </c>
      <c r="D63" s="93" t="s">
        <v>49</v>
      </c>
      <c r="E63" s="93" t="s">
        <v>43</v>
      </c>
      <c r="F63" s="94" t="s">
        <v>68</v>
      </c>
    </row>
    <row r="64" spans="2:6" ht="14.25">
      <c r="B64" s="66"/>
      <c r="C64" s="95" t="s">
        <v>41</v>
      </c>
      <c r="D64" s="95"/>
      <c r="E64" s="25">
        <v>183921440</v>
      </c>
      <c r="F64">
        <v>205245760</v>
      </c>
    </row>
    <row r="65" spans="2:6" ht="14.25">
      <c r="B65" s="66"/>
      <c r="C65" s="88" t="s">
        <v>42</v>
      </c>
      <c r="D65" s="25"/>
      <c r="E65" s="25">
        <v>44172444</v>
      </c>
      <c r="F65">
        <v>133920952</v>
      </c>
    </row>
    <row r="66" spans="2:6" ht="14.25">
      <c r="B66" s="66"/>
      <c r="C66" s="25" t="s">
        <v>43</v>
      </c>
      <c r="D66" s="25"/>
      <c r="E66" s="73">
        <f>SUM(E64:E65)</f>
        <v>228093884</v>
      </c>
      <c r="F66">
        <v>339166712</v>
      </c>
    </row>
    <row r="67" spans="2:5" ht="14.25">
      <c r="B67" s="66"/>
      <c r="C67" s="66"/>
      <c r="D67" s="66"/>
      <c r="E67" s="66"/>
    </row>
    <row r="68" spans="2:5" ht="14.25" hidden="1">
      <c r="B68" s="66"/>
      <c r="C68" s="66"/>
      <c r="D68" s="66"/>
      <c r="E68" s="66"/>
    </row>
    <row r="69" spans="2:5" ht="14.25" hidden="1">
      <c r="B69" s="67" t="s">
        <v>69</v>
      </c>
      <c r="C69" s="67"/>
      <c r="D69" s="67"/>
      <c r="E69" s="67"/>
    </row>
    <row r="70" spans="2:5" ht="14.25" hidden="1">
      <c r="B70" s="66"/>
      <c r="C70" s="66"/>
      <c r="D70" s="66"/>
      <c r="E70" s="66"/>
    </row>
    <row r="71" spans="2:5" ht="12.75" customHeight="1" hidden="1">
      <c r="B71" s="66"/>
      <c r="C71" s="93" t="s">
        <v>47</v>
      </c>
      <c r="D71" s="93" t="s">
        <v>70</v>
      </c>
      <c r="E71" s="93" t="s">
        <v>43</v>
      </c>
    </row>
    <row r="72" spans="2:5" ht="14.25" hidden="1">
      <c r="B72" s="66"/>
      <c r="C72" s="72">
        <v>100</v>
      </c>
      <c r="D72" s="72">
        <v>3000</v>
      </c>
      <c r="E72" s="73">
        <v>300000</v>
      </c>
    </row>
    <row r="73" spans="2:5" ht="14.25" hidden="1">
      <c r="B73" s="66"/>
      <c r="C73" s="66"/>
      <c r="D73" s="66"/>
      <c r="E73" s="66"/>
    </row>
    <row r="74" spans="2:5" ht="14.25" hidden="1">
      <c r="B74" s="66"/>
      <c r="C74" s="66"/>
      <c r="D74" s="66"/>
      <c r="E74" s="66"/>
    </row>
    <row r="75" spans="2:5" ht="36.75" customHeight="1">
      <c r="B75" s="96"/>
      <c r="C75" s="97" t="s">
        <v>27</v>
      </c>
      <c r="D75" s="97"/>
      <c r="E75" s="98">
        <f>E7+E17+E28+E47+E53+E66</f>
        <v>481103160</v>
      </c>
    </row>
  </sheetData>
  <sheetProtection selectLockedCells="1" selectUnlockedCells="1"/>
  <mergeCells count="24">
    <mergeCell ref="C1:E1"/>
    <mergeCell ref="B3:D3"/>
    <mergeCell ref="B10:D10"/>
    <mergeCell ref="A12:B12"/>
    <mergeCell ref="A13:B13"/>
    <mergeCell ref="A14:B14"/>
    <mergeCell ref="A15:B15"/>
    <mergeCell ref="B20:D20"/>
    <mergeCell ref="B26:D26"/>
    <mergeCell ref="B31:D31"/>
    <mergeCell ref="A34:B34"/>
    <mergeCell ref="A35:B35"/>
    <mergeCell ref="A37:B37"/>
    <mergeCell ref="A38:B38"/>
    <mergeCell ref="A39:B39"/>
    <mergeCell ref="A40:B40"/>
    <mergeCell ref="B44:D44"/>
    <mergeCell ref="B48:D48"/>
    <mergeCell ref="B50:F50"/>
    <mergeCell ref="B56:E56"/>
    <mergeCell ref="B62:E62"/>
    <mergeCell ref="C64:D64"/>
    <mergeCell ref="B69:E69"/>
    <mergeCell ref="C75:D7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0"/>
  <sheetViews>
    <sheetView zoomScale="90" zoomScaleNormal="90" zoomScaleSheetLayoutView="100" workbookViewId="0" topLeftCell="A1">
      <pane ySplit="65535" topLeftCell="A1" activePane="topLeft" state="split"/>
      <selection pane="topLeft" activeCell="K16" sqref="K16"/>
      <selection pane="bottomLeft" activeCell="A1" sqref="A1"/>
    </sheetView>
  </sheetViews>
  <sheetFormatPr defaultColWidth="9.00390625" defaultRowHeight="12.75"/>
  <cols>
    <col min="1" max="1" width="6.375" style="0" customWidth="1"/>
    <col min="2" max="2" width="21.87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9.375" style="0" customWidth="1"/>
    <col min="11" max="11" width="9.875" style="0" customWidth="1"/>
  </cols>
  <sheetData>
    <row r="3" ht="12.75">
      <c r="B3" s="99" t="s">
        <v>71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3"/>
      <c r="J7" s="105"/>
    </row>
    <row r="8" spans="1:10" ht="12.75">
      <c r="A8" s="106" t="s">
        <v>84</v>
      </c>
      <c r="B8" s="107" t="s">
        <v>85</v>
      </c>
      <c r="C8" s="105">
        <v>577</v>
      </c>
      <c r="D8" s="108"/>
      <c r="E8" s="105">
        <v>20</v>
      </c>
      <c r="F8" s="105"/>
      <c r="G8" s="105"/>
      <c r="H8" s="107">
        <v>1.62</v>
      </c>
      <c r="I8" s="109">
        <f>ROUND((C8/20*H8),1)</f>
        <v>46.7</v>
      </c>
      <c r="J8" s="105">
        <f>2350000*I8/12*8</f>
        <v>73163333.33333333</v>
      </c>
    </row>
    <row r="9" spans="1:10" ht="12.75">
      <c r="A9" s="107"/>
      <c r="B9" s="107"/>
      <c r="C9" s="105"/>
      <c r="D9" s="108"/>
      <c r="E9" s="105"/>
      <c r="F9" s="105"/>
      <c r="G9" s="105"/>
      <c r="H9" s="107"/>
      <c r="I9" s="109"/>
      <c r="J9" s="105">
        <f>2350000*I9/12*4</f>
        <v>0</v>
      </c>
    </row>
    <row r="10" spans="1:10" ht="12.75">
      <c r="A10" s="107"/>
      <c r="B10" s="107"/>
      <c r="C10" s="105"/>
      <c r="D10" s="108"/>
      <c r="E10" s="105"/>
      <c r="F10" s="105"/>
      <c r="G10" s="105"/>
      <c r="H10" s="107"/>
      <c r="I10" s="109"/>
      <c r="J10" s="105"/>
    </row>
    <row r="11" spans="1:10" ht="12.75">
      <c r="A11" s="107" t="s">
        <v>86</v>
      </c>
      <c r="B11" s="107" t="s">
        <v>87</v>
      </c>
      <c r="C11" s="105"/>
      <c r="D11" s="108">
        <v>560</v>
      </c>
      <c r="E11" s="105">
        <v>20</v>
      </c>
      <c r="F11" s="105"/>
      <c r="G11" s="105"/>
      <c r="H11" s="107">
        <v>1.62</v>
      </c>
      <c r="I11" s="109">
        <f>ROUND((D11/E11*H11),1)</f>
        <v>45.4</v>
      </c>
      <c r="J11" s="105">
        <f>2350000*I11/12*4</f>
        <v>35563333.333333336</v>
      </c>
    </row>
    <row r="12" spans="1:14" ht="12.75">
      <c r="A12" s="107"/>
      <c r="B12" s="107"/>
      <c r="C12" s="105"/>
      <c r="D12" s="108"/>
      <c r="E12" s="105"/>
      <c r="F12" s="105"/>
      <c r="G12" s="105"/>
      <c r="H12" s="107"/>
      <c r="I12" s="109"/>
      <c r="J12" s="105"/>
      <c r="N12" t="s">
        <v>88</v>
      </c>
    </row>
    <row r="13" spans="1:10" ht="14.25">
      <c r="A13" s="107" t="s">
        <v>89</v>
      </c>
      <c r="B13" s="107" t="s">
        <v>90</v>
      </c>
      <c r="C13" s="105">
        <v>2</v>
      </c>
      <c r="D13" s="108"/>
      <c r="E13" s="105" t="s">
        <v>6</v>
      </c>
      <c r="F13" s="105"/>
      <c r="G13" s="105">
        <v>134400</v>
      </c>
      <c r="H13" s="107"/>
      <c r="I13" s="109"/>
      <c r="J13" s="105">
        <v>179200</v>
      </c>
    </row>
    <row r="14" spans="1:10" ht="14.25">
      <c r="A14" s="106" t="s">
        <v>91</v>
      </c>
      <c r="B14" s="107" t="s">
        <v>92</v>
      </c>
      <c r="C14" s="105">
        <v>2</v>
      </c>
      <c r="D14" s="108"/>
      <c r="E14" s="105"/>
      <c r="F14" s="105"/>
      <c r="G14" s="105">
        <v>358400</v>
      </c>
      <c r="H14" s="107"/>
      <c r="I14" s="109"/>
      <c r="J14" s="105">
        <f>C14*G14/12*8</f>
        <v>477866.6666666667</v>
      </c>
    </row>
    <row r="15" spans="1:10" ht="14.25">
      <c r="A15" s="106" t="s">
        <v>93</v>
      </c>
      <c r="B15" s="107" t="s">
        <v>92</v>
      </c>
      <c r="C15" s="105"/>
      <c r="D15" s="108">
        <v>1</v>
      </c>
      <c r="E15" s="105"/>
      <c r="F15" s="105"/>
      <c r="G15" s="105">
        <v>358400</v>
      </c>
      <c r="H15" s="107"/>
      <c r="I15" s="109"/>
      <c r="J15" s="105">
        <f>D15*G15/12*4</f>
        <v>119466.66666666667</v>
      </c>
    </row>
    <row r="16" spans="1:10" ht="14.25">
      <c r="A16" s="106" t="s">
        <v>94</v>
      </c>
      <c r="B16" s="107" t="s">
        <v>95</v>
      </c>
      <c r="C16" s="105">
        <v>1</v>
      </c>
      <c r="D16" s="108"/>
      <c r="E16" s="105"/>
      <c r="F16" s="105"/>
      <c r="G16" s="105">
        <v>156800</v>
      </c>
      <c r="H16" s="107"/>
      <c r="I16" s="109"/>
      <c r="J16" s="105">
        <f>C16*G16/12*8</f>
        <v>104533.33333333333</v>
      </c>
    </row>
    <row r="17" spans="1:10" ht="14.25">
      <c r="A17" s="106" t="s">
        <v>94</v>
      </c>
      <c r="B17" s="107" t="s">
        <v>95</v>
      </c>
      <c r="C17" s="105"/>
      <c r="D17" s="108">
        <v>1</v>
      </c>
      <c r="E17" s="105"/>
      <c r="F17" s="105"/>
      <c r="G17" s="105">
        <v>156800</v>
      </c>
      <c r="H17" s="107"/>
      <c r="I17" s="109"/>
      <c r="J17" s="105">
        <f>D17*G17/12*4</f>
        <v>52266.666666666664</v>
      </c>
    </row>
    <row r="18" spans="1:10" ht="14.25">
      <c r="A18" s="106" t="s">
        <v>96</v>
      </c>
      <c r="B18" s="107" t="s">
        <v>97</v>
      </c>
      <c r="C18" s="105">
        <v>20</v>
      </c>
      <c r="D18" s="108"/>
      <c r="E18" s="105"/>
      <c r="F18" s="105"/>
      <c r="G18" s="105">
        <v>32000</v>
      </c>
      <c r="H18" s="107"/>
      <c r="I18" s="107"/>
      <c r="J18" s="105">
        <f>C18*G18/12*8</f>
        <v>426666.6666666667</v>
      </c>
    </row>
    <row r="19" spans="1:11" ht="14.25">
      <c r="A19" s="106" t="s">
        <v>96</v>
      </c>
      <c r="B19" s="107" t="s">
        <v>97</v>
      </c>
      <c r="C19" s="105"/>
      <c r="D19" s="108">
        <v>12</v>
      </c>
      <c r="E19" s="105"/>
      <c r="F19" s="105"/>
      <c r="G19" s="105">
        <v>32000</v>
      </c>
      <c r="H19" s="107"/>
      <c r="I19" s="107"/>
      <c r="J19" s="105">
        <f>D19*G19/12*4</f>
        <v>128000</v>
      </c>
      <c r="K19" s="110"/>
    </row>
    <row r="20" spans="1:10" ht="14.25">
      <c r="A20" s="106" t="s">
        <v>98</v>
      </c>
      <c r="B20" s="107" t="s">
        <v>99</v>
      </c>
      <c r="C20" s="105"/>
      <c r="D20" s="108"/>
      <c r="E20" s="105"/>
      <c r="F20" s="105">
        <f>F21+F22+F23</f>
        <v>290</v>
      </c>
      <c r="G20" s="105">
        <v>68000</v>
      </c>
      <c r="H20" s="107"/>
      <c r="I20" s="107"/>
      <c r="J20" s="105">
        <f>F20*G20</f>
        <v>19720000</v>
      </c>
    </row>
    <row r="21" spans="1:10" ht="14.25">
      <c r="A21" s="106"/>
      <c r="B21" s="107" t="s">
        <v>100</v>
      </c>
      <c r="C21" s="105"/>
      <c r="D21" s="108"/>
      <c r="E21" s="105"/>
      <c r="F21" s="111">
        <v>210</v>
      </c>
      <c r="G21" s="105"/>
      <c r="H21" s="107"/>
      <c r="I21" s="107"/>
      <c r="J21" s="105">
        <f>C21*G21</f>
        <v>0</v>
      </c>
    </row>
    <row r="22" spans="1:10" ht="14.25">
      <c r="A22" s="106"/>
      <c r="B22" s="107" t="s">
        <v>101</v>
      </c>
      <c r="C22" s="105"/>
      <c r="D22" s="108"/>
      <c r="E22" s="105"/>
      <c r="F22" s="111">
        <v>50</v>
      </c>
      <c r="G22" s="105"/>
      <c r="H22" s="107"/>
      <c r="I22" s="107"/>
      <c r="J22" s="105">
        <f>C22*G22</f>
        <v>0</v>
      </c>
    </row>
    <row r="23" spans="1:10" ht="14.25">
      <c r="A23" s="106"/>
      <c r="B23" s="107" t="s">
        <v>102</v>
      </c>
      <c r="C23" s="105"/>
      <c r="D23" s="108"/>
      <c r="E23" s="105"/>
      <c r="F23" s="111">
        <v>30</v>
      </c>
      <c r="G23" s="105"/>
      <c r="H23" s="107"/>
      <c r="I23" s="107"/>
      <c r="J23" s="105">
        <f>C23*G23</f>
        <v>0</v>
      </c>
    </row>
    <row r="24" spans="1:10" ht="12.75">
      <c r="A24" s="106"/>
      <c r="B24" s="112"/>
      <c r="C24" s="113"/>
      <c r="D24" s="114"/>
      <c r="E24" s="113"/>
      <c r="F24" s="113"/>
      <c r="G24" s="113"/>
      <c r="H24" s="112"/>
      <c r="I24" s="112"/>
      <c r="J24" s="113"/>
    </row>
    <row r="25" spans="1:10" ht="14.25">
      <c r="A25" s="106" t="s">
        <v>103</v>
      </c>
      <c r="B25" s="112" t="s">
        <v>104</v>
      </c>
      <c r="C25" s="113">
        <v>46</v>
      </c>
      <c r="D25" s="114"/>
      <c r="E25" s="113"/>
      <c r="F25" s="113"/>
      <c r="G25" s="113">
        <v>6300</v>
      </c>
      <c r="H25" s="112"/>
      <c r="I25" s="112"/>
      <c r="J25" s="113">
        <f>C25*G25/12*8</f>
        <v>193200</v>
      </c>
    </row>
    <row r="26" spans="1:10" ht="14.25">
      <c r="A26" s="106" t="s">
        <v>103</v>
      </c>
      <c r="B26" s="112" t="s">
        <v>104</v>
      </c>
      <c r="C26" s="113"/>
      <c r="D26" s="114">
        <v>46</v>
      </c>
      <c r="E26" s="113"/>
      <c r="F26" s="113"/>
      <c r="G26" s="113">
        <v>6300</v>
      </c>
      <c r="H26" s="112"/>
      <c r="I26" s="112"/>
      <c r="J26" s="113">
        <f>D26*G26/12*4</f>
        <v>96600</v>
      </c>
    </row>
    <row r="27" spans="1:10" ht="13.5">
      <c r="A27" s="115"/>
      <c r="B27" s="116" t="s">
        <v>43</v>
      </c>
      <c r="C27" s="117"/>
      <c r="D27" s="118"/>
      <c r="E27" s="117"/>
      <c r="F27" s="117"/>
      <c r="G27" s="117"/>
      <c r="H27" s="119"/>
      <c r="I27" s="119"/>
      <c r="J27" s="120">
        <f>SUM(J8:J26)</f>
        <v>130224466.66666666</v>
      </c>
    </row>
    <row r="28" spans="1:10" ht="14.25">
      <c r="A28" s="106"/>
      <c r="B28" s="121" t="s">
        <v>105</v>
      </c>
      <c r="C28" s="122"/>
      <c r="D28" s="122"/>
      <c r="E28" s="122"/>
      <c r="F28" s="122"/>
      <c r="G28" s="122"/>
      <c r="H28" s="121"/>
      <c r="I28" s="123"/>
      <c r="J28" s="105">
        <v>140117867</v>
      </c>
    </row>
    <row r="29" spans="1:10" ht="12.75">
      <c r="A29" s="106"/>
      <c r="B29" s="107"/>
      <c r="C29" s="105"/>
      <c r="D29" s="105"/>
      <c r="E29" s="105"/>
      <c r="F29" s="105"/>
      <c r="G29" s="105"/>
      <c r="H29" s="107"/>
      <c r="I29" s="124"/>
      <c r="J29" s="122">
        <f>J27-J28</f>
        <v>-9893400.333333343</v>
      </c>
    </row>
    <row r="30" spans="1:10" ht="13.5">
      <c r="A30" s="42"/>
      <c r="B30" s="42"/>
      <c r="C30" s="42"/>
      <c r="D30" s="42"/>
      <c r="E30" s="42"/>
      <c r="F30" s="42"/>
      <c r="G30" s="42"/>
      <c r="H30" s="42"/>
      <c r="I30" s="125"/>
      <c r="J30" s="122"/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="90" zoomScaleNormal="90" zoomScaleSheetLayoutView="100" workbookViewId="0" topLeftCell="A28">
      <pane ySplit="65535" topLeftCell="A28" activePane="topLeft" state="split"/>
      <selection pane="topLeft" activeCell="F46" sqref="F46"/>
      <selection pane="bottomLeft" activeCell="A28" sqref="A28"/>
    </sheetView>
  </sheetViews>
  <sheetFormatPr defaultColWidth="9.00390625" defaultRowHeight="12.75"/>
  <cols>
    <col min="2" max="2" width="21.875" style="0" customWidth="1"/>
    <col min="3" max="3" width="10.00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0.25390625" style="0" customWidth="1"/>
  </cols>
  <sheetData>
    <row r="3" ht="12.75">
      <c r="B3" s="99" t="s">
        <v>106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3"/>
      <c r="J7" s="103"/>
    </row>
    <row r="8" spans="1:11" ht="14.25">
      <c r="A8" s="107" t="s">
        <v>107</v>
      </c>
      <c r="B8" s="107" t="s">
        <v>108</v>
      </c>
      <c r="C8" s="105">
        <v>83</v>
      </c>
      <c r="D8" s="108"/>
      <c r="E8" s="105">
        <v>21</v>
      </c>
      <c r="F8" s="105"/>
      <c r="G8" s="105">
        <v>2350000</v>
      </c>
      <c r="H8" s="107">
        <v>1.2</v>
      </c>
      <c r="I8" s="109">
        <f>ROUND((C8/21*H8),1)</f>
        <v>4.7</v>
      </c>
      <c r="J8" s="105">
        <f>G8*I8/12*8+54057</f>
        <v>7417390.333333333</v>
      </c>
      <c r="K8" s="126"/>
    </row>
    <row r="9" spans="1:10" ht="14.25">
      <c r="A9" s="107" t="s">
        <v>107</v>
      </c>
      <c r="B9" s="107" t="s">
        <v>109</v>
      </c>
      <c r="C9" s="105">
        <v>51</v>
      </c>
      <c r="D9" s="108"/>
      <c r="E9" s="105">
        <v>21</v>
      </c>
      <c r="F9" s="105"/>
      <c r="G9" s="105">
        <v>2350000</v>
      </c>
      <c r="H9" s="107">
        <v>1.22</v>
      </c>
      <c r="I9" s="109">
        <f>ROUND((C9/21*H9),1)</f>
        <v>3</v>
      </c>
      <c r="J9" s="105">
        <f>G9*I9/12*8-47595</f>
        <v>4652405</v>
      </c>
    </row>
    <row r="10" spans="1:10" ht="14.25">
      <c r="A10" s="107" t="s">
        <v>107</v>
      </c>
      <c r="B10" s="107" t="s">
        <v>110</v>
      </c>
      <c r="C10" s="105">
        <v>53</v>
      </c>
      <c r="D10" s="108"/>
      <c r="E10" s="105">
        <v>21</v>
      </c>
      <c r="F10" s="105"/>
      <c r="G10" s="105">
        <v>2350000</v>
      </c>
      <c r="H10" s="107">
        <v>1.39</v>
      </c>
      <c r="I10" s="109">
        <f>C10/E10*H10</f>
        <v>3.5080952380952377</v>
      </c>
      <c r="J10" s="105">
        <f>G10*I10/12*8-10783</f>
        <v>5485232.873015872</v>
      </c>
    </row>
    <row r="11" spans="1:10" ht="14.25">
      <c r="A11" s="107" t="s">
        <v>107</v>
      </c>
      <c r="B11" s="107" t="s">
        <v>111</v>
      </c>
      <c r="C11" s="105">
        <v>92</v>
      </c>
      <c r="D11" s="108"/>
      <c r="E11" s="105">
        <v>23</v>
      </c>
      <c r="F11" s="105"/>
      <c r="G11" s="105">
        <v>2350000</v>
      </c>
      <c r="H11" s="107">
        <v>1.55</v>
      </c>
      <c r="I11" s="109">
        <f>ROUND((C11/23*H11),1)</f>
        <v>6.2</v>
      </c>
      <c r="J11" s="105">
        <f>G11*I11/12*8-10238</f>
        <v>9703095.333333334</v>
      </c>
    </row>
    <row r="12" spans="1:10" ht="14.25">
      <c r="A12" s="107" t="s">
        <v>107</v>
      </c>
      <c r="B12" s="107" t="s">
        <v>112</v>
      </c>
      <c r="C12" s="105">
        <v>123</v>
      </c>
      <c r="D12" s="108"/>
      <c r="E12" s="105">
        <v>23</v>
      </c>
      <c r="F12" s="105"/>
      <c r="G12" s="105">
        <v>2350000</v>
      </c>
      <c r="H12" s="107">
        <v>1.76</v>
      </c>
      <c r="I12" s="109">
        <f>ROUND((C12/23*H12),1)</f>
        <v>9.4</v>
      </c>
      <c r="J12" s="105">
        <f>G12*I12/12*8+12426</f>
        <v>14739092.666666666</v>
      </c>
    </row>
    <row r="13" spans="1:10" ht="14.25">
      <c r="A13" s="107"/>
      <c r="B13" s="107"/>
      <c r="C13" s="105"/>
      <c r="D13" s="108"/>
      <c r="E13" s="105"/>
      <c r="F13" s="105"/>
      <c r="G13" s="105"/>
      <c r="H13" s="107"/>
      <c r="I13" s="109"/>
      <c r="J13" s="105"/>
    </row>
    <row r="14" spans="1:10" ht="14.25">
      <c r="A14" s="107" t="s">
        <v>107</v>
      </c>
      <c r="B14" s="107" t="s">
        <v>108</v>
      </c>
      <c r="C14" s="105"/>
      <c r="D14" s="108">
        <v>92</v>
      </c>
      <c r="E14" s="105">
        <v>21</v>
      </c>
      <c r="F14" s="105"/>
      <c r="G14" s="105">
        <v>2350000</v>
      </c>
      <c r="H14" s="107">
        <v>1.2</v>
      </c>
      <c r="I14" s="109">
        <f>ROUND((D14/21*H14),1)</f>
        <v>5.3</v>
      </c>
      <c r="J14" s="105">
        <f>G14*I14/12*4-33571</f>
        <v>4118095.6666666665</v>
      </c>
    </row>
    <row r="15" spans="1:10" ht="14.25">
      <c r="A15" s="107" t="s">
        <v>107</v>
      </c>
      <c r="B15" s="107" t="s">
        <v>109</v>
      </c>
      <c r="C15" s="105"/>
      <c r="D15" s="108">
        <v>41</v>
      </c>
      <c r="E15" s="105">
        <v>21</v>
      </c>
      <c r="F15" s="105"/>
      <c r="G15" s="105">
        <v>2350000</v>
      </c>
      <c r="H15" s="107">
        <v>1.22</v>
      </c>
      <c r="I15" s="109">
        <f>ROUND((D15/E15*H15),1)</f>
        <v>2.4</v>
      </c>
      <c r="J15" s="105">
        <f>G15*I15/12*4-25376</f>
        <v>1854624</v>
      </c>
    </row>
    <row r="16" spans="1:10" ht="14.25">
      <c r="A16" s="107" t="s">
        <v>107</v>
      </c>
      <c r="B16" s="107" t="s">
        <v>110</v>
      </c>
      <c r="C16" s="105"/>
      <c r="D16" s="108">
        <v>51</v>
      </c>
      <c r="E16" s="105">
        <v>21</v>
      </c>
      <c r="F16" s="105"/>
      <c r="G16" s="105">
        <v>2350000</v>
      </c>
      <c r="H16" s="107">
        <v>1.39</v>
      </c>
      <c r="I16" s="109">
        <f>ROUND((D16/E16*H16),1)</f>
        <v>3.4</v>
      </c>
      <c r="J16" s="105">
        <f>G16*I16/12*4-8428</f>
        <v>2654905.3333333335</v>
      </c>
    </row>
    <row r="17" spans="1:10" ht="14.25">
      <c r="A17" s="107" t="s">
        <v>107</v>
      </c>
      <c r="B17" s="107" t="s">
        <v>111</v>
      </c>
      <c r="C17" s="105"/>
      <c r="D17" s="108">
        <v>99</v>
      </c>
      <c r="E17" s="105">
        <v>23</v>
      </c>
      <c r="F17" s="105"/>
      <c r="G17" s="105">
        <v>2350000</v>
      </c>
      <c r="H17" s="107">
        <v>1.55</v>
      </c>
      <c r="I17" s="109">
        <f>ROUND((D17/E17*H17),1)</f>
        <v>6.7</v>
      </c>
      <c r="J17" s="105">
        <f>G17*I17/12*4-29095</f>
        <v>5219238.333333333</v>
      </c>
    </row>
    <row r="18" spans="1:10" ht="14.25">
      <c r="A18" s="107" t="s">
        <v>107</v>
      </c>
      <c r="B18" s="107" t="s">
        <v>112</v>
      </c>
      <c r="C18" s="105"/>
      <c r="D18" s="108">
        <v>118</v>
      </c>
      <c r="E18" s="105">
        <v>23</v>
      </c>
      <c r="F18" s="105"/>
      <c r="G18" s="105">
        <v>2350000</v>
      </c>
      <c r="H18" s="107">
        <v>1.76</v>
      </c>
      <c r="I18" s="109">
        <f>ROUND((D18/E18*H18),1)</f>
        <v>9</v>
      </c>
      <c r="J18" s="105">
        <f>G18*I18/12*4+20050</f>
        <v>7070050</v>
      </c>
    </row>
    <row r="19" spans="1:10" ht="12.75">
      <c r="A19" s="107"/>
      <c r="B19" s="107"/>
      <c r="C19" s="105"/>
      <c r="D19" s="108"/>
      <c r="E19" s="105"/>
      <c r="F19" s="105"/>
      <c r="G19" s="105"/>
      <c r="H19" s="107"/>
      <c r="I19" s="109"/>
      <c r="J19" s="105"/>
    </row>
    <row r="20" spans="1:10" ht="14.25">
      <c r="A20" s="107" t="s">
        <v>113</v>
      </c>
      <c r="B20" s="107" t="s">
        <v>114</v>
      </c>
      <c r="C20" s="105">
        <v>0</v>
      </c>
      <c r="D20" s="108"/>
      <c r="E20" s="105">
        <v>25</v>
      </c>
      <c r="F20" s="105"/>
      <c r="G20" s="105">
        <v>2350000</v>
      </c>
      <c r="H20" s="107">
        <v>0.24</v>
      </c>
      <c r="I20" s="109">
        <f>ROUND((C20/E20*H20),1)</f>
        <v>0</v>
      </c>
      <c r="J20" s="105">
        <f>G20*I20/12*8</f>
        <v>0</v>
      </c>
    </row>
    <row r="21" spans="1:10" ht="14.25">
      <c r="A21" s="107" t="s">
        <v>113</v>
      </c>
      <c r="B21" s="107" t="s">
        <v>115</v>
      </c>
      <c r="C21" s="105">
        <v>30</v>
      </c>
      <c r="D21" s="108"/>
      <c r="E21" s="105">
        <v>25</v>
      </c>
      <c r="F21" s="105"/>
      <c r="G21" s="105">
        <v>2350000</v>
      </c>
      <c r="H21" s="107">
        <v>0.16</v>
      </c>
      <c r="I21" s="109">
        <f>ROUND((C21/E21*H21),1)</f>
        <v>0.2</v>
      </c>
      <c r="J21" s="105">
        <f>2350000*I21/12*8-21408</f>
        <v>291925.3333333333</v>
      </c>
    </row>
    <row r="22" spans="1:10" ht="14.25">
      <c r="A22" s="107" t="s">
        <v>113</v>
      </c>
      <c r="B22" s="107" t="s">
        <v>116</v>
      </c>
      <c r="C22" s="105">
        <v>187</v>
      </c>
      <c r="D22" s="108"/>
      <c r="E22" s="105">
        <v>21</v>
      </c>
      <c r="F22" s="105"/>
      <c r="G22" s="105">
        <v>2350000</v>
      </c>
      <c r="H22" s="107">
        <v>0.27</v>
      </c>
      <c r="I22" s="109">
        <f>ROUND((C22/E22*H22),1)</f>
        <v>2.4</v>
      </c>
      <c r="J22" s="105">
        <f>2350000*I22/12*8-15313</f>
        <v>3744687</v>
      </c>
    </row>
    <row r="23" spans="1:10" ht="14.25">
      <c r="A23" s="107" t="s">
        <v>113</v>
      </c>
      <c r="B23" s="107" t="s">
        <v>117</v>
      </c>
      <c r="C23" s="105"/>
      <c r="D23" s="108">
        <v>0</v>
      </c>
      <c r="E23" s="105">
        <v>25</v>
      </c>
      <c r="F23" s="105"/>
      <c r="G23" s="105">
        <v>2350000</v>
      </c>
      <c r="H23" s="107">
        <v>0.24</v>
      </c>
      <c r="I23" s="109">
        <f>ROUND((D23/E23*H23),1)</f>
        <v>0</v>
      </c>
      <c r="J23" s="105">
        <f>2350000*I23/12*4</f>
        <v>0</v>
      </c>
    </row>
    <row r="24" spans="1:10" ht="14.25">
      <c r="A24" s="107" t="s">
        <v>113</v>
      </c>
      <c r="B24" s="107" t="s">
        <v>118</v>
      </c>
      <c r="C24" s="105"/>
      <c r="D24" s="108">
        <v>30</v>
      </c>
      <c r="E24" s="105">
        <v>25</v>
      </c>
      <c r="F24" s="105"/>
      <c r="G24" s="105">
        <v>2350000</v>
      </c>
      <c r="H24" s="107">
        <v>0.16</v>
      </c>
      <c r="I24" s="109">
        <f>ROUND((D24/E24*H24),1)</f>
        <v>0.2</v>
      </c>
      <c r="J24" s="105">
        <f>2350000*I24/12*4</f>
        <v>156666.66666666666</v>
      </c>
    </row>
    <row r="25" spans="1:10" ht="14.25">
      <c r="A25" s="107" t="s">
        <v>119</v>
      </c>
      <c r="B25" s="107" t="s">
        <v>120</v>
      </c>
      <c r="C25" s="105"/>
      <c r="D25" s="108">
        <v>184</v>
      </c>
      <c r="E25" s="105">
        <v>21</v>
      </c>
      <c r="F25" s="105"/>
      <c r="G25" s="105">
        <v>2350000</v>
      </c>
      <c r="H25" s="107">
        <v>0.27</v>
      </c>
      <c r="I25" s="109">
        <f>ROUND((D25/E25*H25),2)</f>
        <v>2.37</v>
      </c>
      <c r="J25" s="105">
        <f>2350000*I25/12*4+10512</f>
        <v>1867012</v>
      </c>
    </row>
    <row r="26" spans="1:10" ht="14.25">
      <c r="A26" s="107" t="s">
        <v>121</v>
      </c>
      <c r="B26" s="107" t="s">
        <v>122</v>
      </c>
      <c r="C26" s="105">
        <v>402</v>
      </c>
      <c r="D26" s="108"/>
      <c r="E26" s="105"/>
      <c r="F26" s="105"/>
      <c r="G26" s="105">
        <v>1750</v>
      </c>
      <c r="H26" s="107"/>
      <c r="I26" s="109"/>
      <c r="J26" s="105">
        <f>C26*G26/12*8</f>
        <v>469000</v>
      </c>
    </row>
    <row r="27" spans="1:10" ht="14.25">
      <c r="A27" s="107" t="s">
        <v>121</v>
      </c>
      <c r="B27" s="107" t="s">
        <v>122</v>
      </c>
      <c r="C27" s="105"/>
      <c r="D27" s="108">
        <v>401</v>
      </c>
      <c r="E27" s="105"/>
      <c r="F27" s="105"/>
      <c r="G27" s="105">
        <v>1750</v>
      </c>
      <c r="H27" s="107"/>
      <c r="I27" s="109"/>
      <c r="J27" s="105">
        <f>D27*G27/12*4</f>
        <v>233916.66666666666</v>
      </c>
    </row>
    <row r="28" spans="1:10" ht="12.75">
      <c r="A28" s="107" t="s">
        <v>123</v>
      </c>
      <c r="B28" s="107" t="s">
        <v>124</v>
      </c>
      <c r="C28" s="105">
        <v>1</v>
      </c>
      <c r="D28" s="108"/>
      <c r="E28" s="105"/>
      <c r="F28" s="105"/>
      <c r="G28" s="105">
        <v>358400</v>
      </c>
      <c r="H28" s="107"/>
      <c r="I28" s="109"/>
      <c r="J28" s="105">
        <f>C28*G28/12*8</f>
        <v>238933.33333333334</v>
      </c>
    </row>
    <row r="29" spans="1:10" ht="12.75">
      <c r="A29" s="107" t="s">
        <v>123</v>
      </c>
      <c r="B29" s="107" t="s">
        <v>124</v>
      </c>
      <c r="C29" s="105"/>
      <c r="D29" s="108">
        <v>1</v>
      </c>
      <c r="E29" s="105"/>
      <c r="F29" s="105"/>
      <c r="G29" s="105">
        <v>358400</v>
      </c>
      <c r="H29" s="107"/>
      <c r="I29" s="109"/>
      <c r="J29" s="105">
        <f>D29*G29/12*4</f>
        <v>119466.66666666667</v>
      </c>
    </row>
    <row r="30" spans="1:10" ht="14.25">
      <c r="A30" s="107" t="s">
        <v>125</v>
      </c>
      <c r="B30" s="107" t="s">
        <v>126</v>
      </c>
      <c r="C30" s="105">
        <v>3</v>
      </c>
      <c r="D30" s="108"/>
      <c r="E30" s="105"/>
      <c r="F30" s="105"/>
      <c r="G30" s="105">
        <v>179200</v>
      </c>
      <c r="H30" s="107"/>
      <c r="I30" s="109"/>
      <c r="J30" s="105">
        <f>C30*G30/12*8</f>
        <v>358400</v>
      </c>
    </row>
    <row r="31" spans="1:10" ht="14.25">
      <c r="A31" s="107" t="s">
        <v>125</v>
      </c>
      <c r="B31" s="107" t="s">
        <v>126</v>
      </c>
      <c r="C31" s="105"/>
      <c r="D31" s="108">
        <v>3</v>
      </c>
      <c r="E31" s="105"/>
      <c r="F31" s="105"/>
      <c r="G31" s="105">
        <v>179200</v>
      </c>
      <c r="H31" s="107"/>
      <c r="I31" s="109"/>
      <c r="J31" s="105">
        <f>D31*G31/12*4</f>
        <v>179200</v>
      </c>
    </row>
    <row r="32" spans="1:10" ht="14.25">
      <c r="A32" s="107" t="s">
        <v>127</v>
      </c>
      <c r="B32" s="107" t="s">
        <v>128</v>
      </c>
      <c r="C32" s="105">
        <v>12</v>
      </c>
      <c r="D32" s="108"/>
      <c r="E32" s="105"/>
      <c r="F32" s="105"/>
      <c r="G32" s="105">
        <v>156800</v>
      </c>
      <c r="H32" s="107"/>
      <c r="I32" s="109"/>
      <c r="J32" s="105">
        <f>C32*G32/12*8</f>
        <v>1254400</v>
      </c>
    </row>
    <row r="33" spans="1:10" ht="14.25">
      <c r="A33" s="107" t="s">
        <v>129</v>
      </c>
      <c r="B33" s="107" t="s">
        <v>128</v>
      </c>
      <c r="C33" s="105"/>
      <c r="D33" s="108">
        <v>12</v>
      </c>
      <c r="E33" s="105"/>
      <c r="F33" s="105"/>
      <c r="G33" s="105">
        <v>156800</v>
      </c>
      <c r="H33" s="107"/>
      <c r="I33" s="109"/>
      <c r="J33" s="105">
        <f>D33*G33/12*4</f>
        <v>627200</v>
      </c>
    </row>
    <row r="34" spans="1:10" ht="14.25">
      <c r="A34" s="107" t="s">
        <v>130</v>
      </c>
      <c r="B34" s="107" t="s">
        <v>131</v>
      </c>
      <c r="C34" s="105"/>
      <c r="D34" s="108"/>
      <c r="E34" s="105"/>
      <c r="F34" s="105">
        <f>F35+F36+F37</f>
        <v>157</v>
      </c>
      <c r="G34" s="105">
        <v>68000</v>
      </c>
      <c r="H34" s="107"/>
      <c r="I34" s="109"/>
      <c r="J34" s="105">
        <f>F34*G34</f>
        <v>10676000</v>
      </c>
    </row>
    <row r="35" spans="1:10" ht="14.25">
      <c r="A35" s="107"/>
      <c r="B35" s="107" t="s">
        <v>132</v>
      </c>
      <c r="C35" s="105"/>
      <c r="D35" s="108"/>
      <c r="E35" s="105"/>
      <c r="F35" s="111">
        <v>127</v>
      </c>
      <c r="G35" s="105"/>
      <c r="H35" s="107"/>
      <c r="I35" s="109"/>
      <c r="J35" s="105"/>
    </row>
    <row r="36" spans="1:10" ht="14.25">
      <c r="A36" s="107"/>
      <c r="B36" s="107" t="s">
        <v>133</v>
      </c>
      <c r="C36" s="105"/>
      <c r="D36" s="108"/>
      <c r="E36" s="105"/>
      <c r="F36" s="111">
        <v>17</v>
      </c>
      <c r="G36" s="105"/>
      <c r="H36" s="107"/>
      <c r="I36" s="109"/>
      <c r="J36" s="105"/>
    </row>
    <row r="37" spans="1:10" ht="14.25">
      <c r="A37" s="107"/>
      <c r="B37" s="107" t="s">
        <v>134</v>
      </c>
      <c r="C37" s="105"/>
      <c r="D37" s="108"/>
      <c r="E37" s="105"/>
      <c r="F37" s="111">
        <v>13</v>
      </c>
      <c r="G37" s="105"/>
      <c r="H37" s="107"/>
      <c r="I37" s="107"/>
      <c r="J37" s="105"/>
    </row>
    <row r="38" spans="1:10" ht="14.25">
      <c r="A38" s="106"/>
      <c r="B38" s="112"/>
      <c r="C38" s="113"/>
      <c r="D38" s="114"/>
      <c r="E38" s="113"/>
      <c r="F38" s="113"/>
      <c r="G38" s="113"/>
      <c r="H38" s="112"/>
      <c r="I38" s="112"/>
      <c r="J38" s="105"/>
    </row>
    <row r="39" spans="1:10" ht="14.25">
      <c r="A39" s="106" t="s">
        <v>135</v>
      </c>
      <c r="B39" s="112" t="s">
        <v>136</v>
      </c>
      <c r="C39" s="113"/>
      <c r="D39" s="114">
        <v>215</v>
      </c>
      <c r="E39" s="113"/>
      <c r="F39" s="113"/>
      <c r="G39" s="113">
        <v>12000</v>
      </c>
      <c r="H39" s="112"/>
      <c r="I39" s="127"/>
      <c r="J39" s="105">
        <f>D39*G39</f>
        <v>2580000</v>
      </c>
    </row>
    <row r="40" spans="1:10" ht="14.25">
      <c r="A40" s="106"/>
      <c r="B40" s="112"/>
      <c r="C40" s="113"/>
      <c r="D40" s="114"/>
      <c r="E40" s="113"/>
      <c r="F40" s="113"/>
      <c r="G40" s="112"/>
      <c r="H40" s="112"/>
      <c r="I40" s="127"/>
      <c r="J40" s="105"/>
    </row>
    <row r="41" spans="1:10" ht="14.25">
      <c r="A41" s="106"/>
      <c r="B41" s="113"/>
      <c r="C41" s="113"/>
      <c r="D41" s="114"/>
      <c r="E41" s="113"/>
      <c r="F41" s="113"/>
      <c r="G41" s="112"/>
      <c r="H41" s="112"/>
      <c r="I41" s="127"/>
      <c r="J41" s="105"/>
    </row>
    <row r="42" spans="1:10" ht="14.25">
      <c r="A42" s="106" t="s">
        <v>103</v>
      </c>
      <c r="B42" s="112" t="s">
        <v>104</v>
      </c>
      <c r="C42" s="113">
        <v>33</v>
      </c>
      <c r="D42" s="114"/>
      <c r="E42" s="113"/>
      <c r="F42" s="113"/>
      <c r="G42" s="113">
        <v>6300</v>
      </c>
      <c r="H42" s="112"/>
      <c r="I42" s="112"/>
      <c r="J42" s="105">
        <f>C42*G42/12*8</f>
        <v>138600</v>
      </c>
    </row>
    <row r="43" spans="1:10" ht="14.25">
      <c r="A43" s="106" t="s">
        <v>103</v>
      </c>
      <c r="B43" s="112" t="s">
        <v>104</v>
      </c>
      <c r="C43" s="113"/>
      <c r="D43" s="114">
        <v>33</v>
      </c>
      <c r="E43" s="113"/>
      <c r="F43" s="113"/>
      <c r="G43" s="113">
        <v>6300</v>
      </c>
      <c r="H43" s="112"/>
      <c r="I43" s="112"/>
      <c r="J43" s="105">
        <f>D43*G43/12*4</f>
        <v>69300</v>
      </c>
    </row>
    <row r="44" spans="1:10" ht="14.25">
      <c r="A44" s="106" t="s">
        <v>137</v>
      </c>
      <c r="B44" s="112" t="s">
        <v>138</v>
      </c>
      <c r="C44" s="113">
        <v>17</v>
      </c>
      <c r="D44" s="114"/>
      <c r="E44" s="113"/>
      <c r="F44" s="113"/>
      <c r="G44" s="113">
        <v>26000</v>
      </c>
      <c r="H44" s="112"/>
      <c r="I44" s="112"/>
      <c r="J44" s="105">
        <f>C44*G44/12*8</f>
        <v>294666.6666666667</v>
      </c>
    </row>
    <row r="45" spans="1:10" ht="14.25">
      <c r="A45" s="106" t="s">
        <v>139</v>
      </c>
      <c r="B45" s="112" t="s">
        <v>138</v>
      </c>
      <c r="C45" s="113"/>
      <c r="D45" s="114">
        <v>17</v>
      </c>
      <c r="E45" s="113"/>
      <c r="F45" s="113"/>
      <c r="G45" s="113">
        <v>26000</v>
      </c>
      <c r="H45" s="112"/>
      <c r="I45" s="112"/>
      <c r="J45" s="105">
        <f>D45*G45/12*4</f>
        <v>147333.33333333334</v>
      </c>
    </row>
    <row r="46" spans="1:10" ht="14.25">
      <c r="A46" s="128"/>
      <c r="B46" s="129" t="s">
        <v>43</v>
      </c>
      <c r="C46" s="113"/>
      <c r="D46" s="114"/>
      <c r="E46" s="113"/>
      <c r="F46" s="113"/>
      <c r="G46" s="113"/>
      <c r="H46" s="112"/>
      <c r="I46" s="112"/>
      <c r="J46" s="130">
        <f>SUM(J8:J45)</f>
        <v>86360837.20634921</v>
      </c>
    </row>
    <row r="47" spans="1:10" ht="14.25">
      <c r="A47" s="42"/>
      <c r="B47" s="131" t="s">
        <v>140</v>
      </c>
      <c r="C47" s="42"/>
      <c r="D47" s="132"/>
      <c r="E47" s="42"/>
      <c r="F47" s="42"/>
      <c r="G47" s="42"/>
      <c r="H47" s="42"/>
      <c r="I47" s="42"/>
      <c r="J47" s="105">
        <v>86802287</v>
      </c>
    </row>
    <row r="48" spans="1:10" ht="12.75">
      <c r="A48" s="42"/>
      <c r="B48" s="42"/>
      <c r="C48" s="42"/>
      <c r="D48" s="132"/>
      <c r="E48" s="42"/>
      <c r="F48" s="42"/>
      <c r="G48" s="42"/>
      <c r="H48" s="42"/>
      <c r="I48" s="42"/>
      <c r="J48" s="122">
        <f>J46-J47</f>
        <v>-441449.79365079105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6"/>
  <sheetViews>
    <sheetView zoomScale="90" zoomScaleNormal="90" zoomScaleSheetLayoutView="100" workbookViewId="0" topLeftCell="A29">
      <pane ySplit="65535" topLeftCell="A29" activePane="topLeft" state="split"/>
      <selection pane="topLeft" activeCell="J46" sqref="J46"/>
      <selection pane="bottomLeft" activeCell="A29" sqref="A29"/>
    </sheetView>
  </sheetViews>
  <sheetFormatPr defaultColWidth="9.00390625" defaultRowHeight="12.75"/>
  <cols>
    <col min="1" max="1" width="7.00390625" style="0" customWidth="1"/>
    <col min="2" max="2" width="21.375" style="0" customWidth="1"/>
    <col min="3" max="3" width="9.25390625" style="0" customWidth="1"/>
    <col min="5" max="5" width="9.625" style="0" customWidth="1"/>
    <col min="6" max="6" width="7.375" style="0" customWidth="1"/>
    <col min="7" max="7" width="8.375" style="0" customWidth="1"/>
    <col min="9" max="9" width="6.00390625" style="0" customWidth="1"/>
    <col min="10" max="10" width="10.25390625" style="0" customWidth="1"/>
  </cols>
  <sheetData>
    <row r="3" ht="12.75">
      <c r="B3" s="99" t="s">
        <v>141</v>
      </c>
    </row>
    <row r="5" spans="1:10" ht="12.75">
      <c r="A5" s="100" t="s">
        <v>72</v>
      </c>
      <c r="B5" s="100"/>
      <c r="C5" s="100" t="s">
        <v>73</v>
      </c>
      <c r="D5" s="100"/>
      <c r="E5" s="100" t="s">
        <v>74</v>
      </c>
      <c r="F5" s="100" t="s">
        <v>75</v>
      </c>
      <c r="G5" s="100" t="s">
        <v>47</v>
      </c>
      <c r="H5" s="100" t="s">
        <v>76</v>
      </c>
      <c r="I5" s="100" t="s">
        <v>77</v>
      </c>
      <c r="J5" s="100" t="s">
        <v>47</v>
      </c>
    </row>
    <row r="6" spans="1:10" ht="12.75">
      <c r="A6" s="100"/>
      <c r="B6" s="100"/>
      <c r="C6" s="101">
        <v>40817</v>
      </c>
      <c r="D6" s="102">
        <v>41183</v>
      </c>
      <c r="E6" s="101" t="s">
        <v>78</v>
      </c>
      <c r="F6" s="101" t="s">
        <v>79</v>
      </c>
      <c r="G6" s="100" t="s">
        <v>80</v>
      </c>
      <c r="H6" s="100" t="s">
        <v>81</v>
      </c>
      <c r="I6" s="100" t="s">
        <v>82</v>
      </c>
      <c r="J6" s="100" t="s">
        <v>83</v>
      </c>
    </row>
    <row r="7" spans="1:10" ht="12.75">
      <c r="A7" s="103"/>
      <c r="B7" s="103"/>
      <c r="C7" s="103"/>
      <c r="D7" s="104"/>
      <c r="E7" s="103"/>
      <c r="F7" s="103"/>
      <c r="G7" s="103"/>
      <c r="H7" s="103"/>
      <c r="I7" s="103"/>
      <c r="J7" s="103"/>
    </row>
    <row r="8" spans="1:10" ht="12.75">
      <c r="A8" s="107" t="s">
        <v>107</v>
      </c>
      <c r="B8" s="107" t="s">
        <v>108</v>
      </c>
      <c r="C8" s="105">
        <v>37</v>
      </c>
      <c r="D8" s="108"/>
      <c r="E8" s="105">
        <v>21</v>
      </c>
      <c r="F8" s="105"/>
      <c r="G8" s="105">
        <v>2350000</v>
      </c>
      <c r="H8" s="107">
        <v>1.2</v>
      </c>
      <c r="I8" s="109">
        <f>ROUND((C8/21*H8),1)</f>
        <v>2.1</v>
      </c>
      <c r="J8" s="105">
        <f>G8*I8/12*8+16550</f>
        <v>3306550</v>
      </c>
    </row>
    <row r="9" spans="1:10" ht="14.25">
      <c r="A9" s="107" t="s">
        <v>107</v>
      </c>
      <c r="B9" s="107" t="s">
        <v>109</v>
      </c>
      <c r="C9" s="105">
        <v>15</v>
      </c>
      <c r="D9" s="108"/>
      <c r="E9" s="105">
        <v>21</v>
      </c>
      <c r="F9" s="105"/>
      <c r="G9" s="105">
        <v>2350000</v>
      </c>
      <c r="H9" s="107">
        <v>1.22</v>
      </c>
      <c r="I9" s="109">
        <f>ROUND((C9/21*H9),1)</f>
        <v>0.9</v>
      </c>
      <c r="J9" s="105">
        <f>G9*I9/12*8-41646</f>
        <v>1368354</v>
      </c>
    </row>
    <row r="10" spans="1:10" ht="14.25">
      <c r="A10" s="107" t="s">
        <v>107</v>
      </c>
      <c r="B10" s="107" t="s">
        <v>110</v>
      </c>
      <c r="C10" s="105">
        <v>17</v>
      </c>
      <c r="D10" s="108"/>
      <c r="E10" s="105">
        <v>21</v>
      </c>
      <c r="F10" s="105"/>
      <c r="G10" s="105">
        <v>2350000</v>
      </c>
      <c r="H10" s="107">
        <v>1.39</v>
      </c>
      <c r="I10" s="109">
        <f>C10/21*H10</f>
        <v>1.1252380952380951</v>
      </c>
      <c r="J10" s="105">
        <f>G10*I10/12*8-3459</f>
        <v>1759414.0158730159</v>
      </c>
    </row>
    <row r="11" spans="1:10" ht="14.25">
      <c r="A11" s="107" t="s">
        <v>107</v>
      </c>
      <c r="B11" s="107" t="s">
        <v>111</v>
      </c>
      <c r="C11" s="105">
        <v>29</v>
      </c>
      <c r="D11" s="108"/>
      <c r="E11" s="105">
        <v>23</v>
      </c>
      <c r="F11" s="105"/>
      <c r="G11" s="105">
        <v>2350000</v>
      </c>
      <c r="H11" s="107">
        <v>1.55</v>
      </c>
      <c r="I11" s="109">
        <f>ROUND((C11/23*H11),1)</f>
        <v>2</v>
      </c>
      <c r="J11" s="105">
        <f>G11*I11/12*8-74748</f>
        <v>3058585.3333333335</v>
      </c>
    </row>
    <row r="12" spans="1:10" ht="14.25">
      <c r="A12" s="107" t="s">
        <v>107</v>
      </c>
      <c r="B12" s="107" t="s">
        <v>112</v>
      </c>
      <c r="C12" s="105">
        <v>36</v>
      </c>
      <c r="D12" s="108"/>
      <c r="E12" s="105">
        <v>23</v>
      </c>
      <c r="F12" s="105"/>
      <c r="G12" s="105">
        <v>2350000</v>
      </c>
      <c r="H12" s="107">
        <v>1.76</v>
      </c>
      <c r="I12" s="109">
        <f>ROUND((C12/20*H12),2)</f>
        <v>3.17</v>
      </c>
      <c r="J12" s="105">
        <f>G12*I12/12*8-652452</f>
        <v>4313881.333333333</v>
      </c>
    </row>
    <row r="13" spans="1:10" ht="14.25">
      <c r="A13" s="107"/>
      <c r="B13" s="107"/>
      <c r="C13" s="105"/>
      <c r="D13" s="108"/>
      <c r="E13" s="105"/>
      <c r="F13" s="105"/>
      <c r="G13" s="105"/>
      <c r="H13" s="107"/>
      <c r="I13" s="109"/>
      <c r="J13" s="105"/>
    </row>
    <row r="14" spans="1:10" ht="14.25">
      <c r="A14" s="107" t="s">
        <v>107</v>
      </c>
      <c r="B14" s="107" t="s">
        <v>108</v>
      </c>
      <c r="C14" s="105"/>
      <c r="D14" s="108">
        <v>39</v>
      </c>
      <c r="E14" s="105">
        <v>21</v>
      </c>
      <c r="F14" s="105"/>
      <c r="G14" s="105">
        <v>2350000</v>
      </c>
      <c r="H14" s="107">
        <v>1.2</v>
      </c>
      <c r="I14" s="109">
        <f>ROUND((D14/21*H14),1)</f>
        <v>2.2</v>
      </c>
      <c r="J14" s="105">
        <f>G14*I14/12*4+22381</f>
        <v>1745714.3333333333</v>
      </c>
    </row>
    <row r="15" spans="1:10" ht="12.75">
      <c r="A15" s="107" t="s">
        <v>107</v>
      </c>
      <c r="B15" s="107" t="s">
        <v>109</v>
      </c>
      <c r="C15" s="105"/>
      <c r="D15" s="108">
        <v>18</v>
      </c>
      <c r="E15" s="105">
        <v>21</v>
      </c>
      <c r="F15" s="105"/>
      <c r="G15" s="105">
        <v>2350000</v>
      </c>
      <c r="H15" s="107">
        <v>1.22</v>
      </c>
      <c r="I15" s="109">
        <f>ROUND((D15/E15*H15),1)</f>
        <v>1</v>
      </c>
      <c r="J15" s="105">
        <f>G15*I15/12*4+30892</f>
        <v>814225.3333333334</v>
      </c>
    </row>
    <row r="16" spans="1:10" ht="14.25">
      <c r="A16" s="107" t="s">
        <v>107</v>
      </c>
      <c r="B16" s="107" t="s">
        <v>110</v>
      </c>
      <c r="C16" s="105"/>
      <c r="D16" s="108">
        <v>15</v>
      </c>
      <c r="E16" s="105">
        <v>21</v>
      </c>
      <c r="F16" s="105"/>
      <c r="G16" s="105">
        <v>2350000</v>
      </c>
      <c r="H16" s="107">
        <v>1.39</v>
      </c>
      <c r="I16" s="109">
        <f>ROUND((D16/E16*H16),2)</f>
        <v>0.99</v>
      </c>
      <c r="J16" s="105">
        <f>G16*I16/12*4+5354</f>
        <v>780854</v>
      </c>
    </row>
    <row r="17" spans="1:10" ht="14.25">
      <c r="A17" s="107" t="s">
        <v>107</v>
      </c>
      <c r="B17" s="107" t="s">
        <v>111</v>
      </c>
      <c r="C17" s="105"/>
      <c r="D17" s="108">
        <v>32</v>
      </c>
      <c r="E17" s="105">
        <v>23</v>
      </c>
      <c r="F17" s="105"/>
      <c r="G17" s="105">
        <v>2350000</v>
      </c>
      <c r="H17" s="107">
        <v>1.55</v>
      </c>
      <c r="I17" s="109">
        <f>ROUND((D17/E17*H17),2)</f>
        <v>2.16</v>
      </c>
      <c r="J17" s="105">
        <f>G17*I17/12*4-4973</f>
        <v>1687027</v>
      </c>
    </row>
    <row r="18" spans="1:10" ht="14.25">
      <c r="A18" s="107" t="s">
        <v>107</v>
      </c>
      <c r="B18" s="107" t="s">
        <v>112</v>
      </c>
      <c r="C18" s="105"/>
      <c r="D18" s="108">
        <v>34</v>
      </c>
      <c r="E18" s="105">
        <v>23</v>
      </c>
      <c r="F18" s="105"/>
      <c r="G18" s="105">
        <v>2350000</v>
      </c>
      <c r="H18" s="107">
        <v>1.76</v>
      </c>
      <c r="I18" s="109">
        <f>ROUND((D18/E18*H18),1)</f>
        <v>2.6</v>
      </c>
      <c r="J18" s="105">
        <f>G18*I18/12*4+466</f>
        <v>2037132.6666666667</v>
      </c>
    </row>
    <row r="19" spans="1:10" ht="12.75">
      <c r="A19" s="107"/>
      <c r="B19" s="107"/>
      <c r="C19" s="105"/>
      <c r="D19" s="108"/>
      <c r="E19" s="105"/>
      <c r="F19" s="105"/>
      <c r="G19" s="105"/>
      <c r="H19" s="107"/>
      <c r="I19" s="109"/>
      <c r="J19" s="105"/>
    </row>
    <row r="20" spans="1:10" ht="12.75">
      <c r="A20" s="107" t="s">
        <v>113</v>
      </c>
      <c r="B20" s="107" t="s">
        <v>114</v>
      </c>
      <c r="C20" s="105">
        <v>0</v>
      </c>
      <c r="D20" s="108"/>
      <c r="E20" s="105">
        <v>25</v>
      </c>
      <c r="F20" s="105"/>
      <c r="G20" s="105">
        <v>2350000</v>
      </c>
      <c r="H20" s="107">
        <v>0.24</v>
      </c>
      <c r="I20" s="109"/>
      <c r="J20" s="105"/>
    </row>
    <row r="21" spans="1:10" ht="14.25">
      <c r="A21" s="107" t="s">
        <v>113</v>
      </c>
      <c r="B21" s="107" t="s">
        <v>115</v>
      </c>
      <c r="C21" s="105">
        <v>35</v>
      </c>
      <c r="D21" s="108"/>
      <c r="E21" s="105">
        <v>25</v>
      </c>
      <c r="F21" s="105"/>
      <c r="G21" s="105">
        <v>2350000</v>
      </c>
      <c r="H21" s="107">
        <v>0.16</v>
      </c>
      <c r="I21" s="109">
        <f>ROUND((C21/E21*H21),1)</f>
        <v>0.2</v>
      </c>
      <c r="J21" s="105">
        <f>G21*I21/12*8+27247</f>
        <v>340580.3333333333</v>
      </c>
    </row>
    <row r="22" spans="1:10" ht="14.25">
      <c r="A22" s="107" t="s">
        <v>113</v>
      </c>
      <c r="B22" s="107" t="s">
        <v>116</v>
      </c>
      <c r="C22" s="105">
        <v>69</v>
      </c>
      <c r="D22" s="108"/>
      <c r="E22" s="105">
        <v>21</v>
      </c>
      <c r="F22" s="105"/>
      <c r="G22" s="105">
        <v>2350000</v>
      </c>
      <c r="H22" s="107">
        <v>0.27</v>
      </c>
      <c r="I22" s="109">
        <f>ROUND((C22/E22*H22),1)</f>
        <v>0.9</v>
      </c>
      <c r="J22" s="105">
        <f>G22*I22/12*8-28271</f>
        <v>1381729</v>
      </c>
    </row>
    <row r="23" spans="1:10" ht="12.75">
      <c r="A23" s="107" t="s">
        <v>113</v>
      </c>
      <c r="B23" s="107" t="s">
        <v>118</v>
      </c>
      <c r="C23" s="105">
        <v>0</v>
      </c>
      <c r="D23" s="108">
        <v>39</v>
      </c>
      <c r="E23" s="105">
        <v>25</v>
      </c>
      <c r="F23" s="105"/>
      <c r="G23" s="105">
        <v>2350000</v>
      </c>
      <c r="H23" s="107">
        <v>0.16</v>
      </c>
      <c r="I23" s="109">
        <f>ROUND((D23/E23*H23),1)</f>
        <v>0.2</v>
      </c>
      <c r="J23" s="105">
        <f>G23*I23/12*4+47000</f>
        <v>203666.66666666666</v>
      </c>
    </row>
    <row r="24" spans="1:10" ht="12.75">
      <c r="A24" s="107" t="s">
        <v>113</v>
      </c>
      <c r="B24" s="107" t="s">
        <v>116</v>
      </c>
      <c r="C24" s="105"/>
      <c r="D24" s="108">
        <v>72</v>
      </c>
      <c r="E24" s="105">
        <v>21</v>
      </c>
      <c r="F24" s="105"/>
      <c r="G24" s="105">
        <v>2350000</v>
      </c>
      <c r="H24" s="107">
        <v>0.27</v>
      </c>
      <c r="I24" s="109">
        <f>ROUND((D24/E24*H24),2)</f>
        <v>0.93</v>
      </c>
      <c r="J24" s="105">
        <f>G24*I24/12*4+7627-5557</f>
        <v>730570</v>
      </c>
    </row>
    <row r="25" spans="1:10" ht="12.75">
      <c r="A25" s="107" t="s">
        <v>91</v>
      </c>
      <c r="B25" s="107" t="s">
        <v>124</v>
      </c>
      <c r="C25" s="105">
        <v>0</v>
      </c>
      <c r="D25" s="108"/>
      <c r="E25" s="105"/>
      <c r="F25" s="105"/>
      <c r="G25" s="105">
        <v>358400</v>
      </c>
      <c r="H25" s="107"/>
      <c r="I25" s="109"/>
      <c r="J25" s="105">
        <f>C25*G25/3*2</f>
        <v>0</v>
      </c>
    </row>
    <row r="26" spans="1:10" ht="12.75">
      <c r="A26" s="107" t="s">
        <v>142</v>
      </c>
      <c r="B26" s="107" t="s">
        <v>124</v>
      </c>
      <c r="C26" s="105"/>
      <c r="D26" s="108">
        <v>0</v>
      </c>
      <c r="E26" s="105"/>
      <c r="F26" s="105"/>
      <c r="G26" s="105">
        <v>358400</v>
      </c>
      <c r="H26" s="107"/>
      <c r="I26" s="109"/>
      <c r="J26" s="105">
        <f>D26*G26/3</f>
        <v>0</v>
      </c>
    </row>
    <row r="27" spans="1:10" ht="12.75">
      <c r="A27" s="107" t="s">
        <v>143</v>
      </c>
      <c r="B27" s="107" t="s">
        <v>126</v>
      </c>
      <c r="C27" s="105">
        <v>0</v>
      </c>
      <c r="D27" s="108"/>
      <c r="E27" s="105"/>
      <c r="F27" s="105"/>
      <c r="G27" s="105">
        <v>179200</v>
      </c>
      <c r="H27" s="107"/>
      <c r="I27" s="109"/>
      <c r="J27" s="105">
        <f>C27*G27/3*2</f>
        <v>0</v>
      </c>
    </row>
    <row r="28" spans="1:10" ht="14.25">
      <c r="A28" s="107" t="s">
        <v>143</v>
      </c>
      <c r="B28" s="107" t="s">
        <v>126</v>
      </c>
      <c r="C28" s="105"/>
      <c r="D28" s="108">
        <v>0</v>
      </c>
      <c r="E28" s="105"/>
      <c r="F28" s="105"/>
      <c r="G28" s="105">
        <v>179200</v>
      </c>
      <c r="H28" s="107"/>
      <c r="I28" s="109"/>
      <c r="J28" s="105"/>
    </row>
    <row r="29" spans="1:10" ht="14.25">
      <c r="A29" s="107" t="s">
        <v>129</v>
      </c>
      <c r="B29" s="107" t="s">
        <v>144</v>
      </c>
      <c r="C29" s="105">
        <v>8</v>
      </c>
      <c r="D29" s="108"/>
      <c r="E29" s="105"/>
      <c r="F29" s="105"/>
      <c r="G29" s="105">
        <v>156800</v>
      </c>
      <c r="H29" s="107"/>
      <c r="I29" s="109"/>
      <c r="J29" s="105">
        <f>C29*G29/3*2</f>
        <v>836266.6666666666</v>
      </c>
    </row>
    <row r="30" spans="1:10" ht="14.25">
      <c r="A30" s="107" t="s">
        <v>129</v>
      </c>
      <c r="B30" s="107" t="s">
        <v>144</v>
      </c>
      <c r="C30" s="105"/>
      <c r="D30" s="108">
        <v>9</v>
      </c>
      <c r="E30" s="105"/>
      <c r="F30" s="105"/>
      <c r="G30" s="105">
        <v>156800</v>
      </c>
      <c r="H30" s="107"/>
      <c r="I30" s="109"/>
      <c r="J30" s="105">
        <f>D30*G30/3-1</f>
        <v>470399</v>
      </c>
    </row>
    <row r="31" spans="2:10" ht="12.75">
      <c r="B31" s="107"/>
      <c r="C31" s="105"/>
      <c r="D31" s="108"/>
      <c r="E31" s="105"/>
      <c r="F31" s="105"/>
      <c r="G31" s="105"/>
      <c r="H31" s="107"/>
      <c r="I31" s="109"/>
      <c r="J31" s="107"/>
    </row>
    <row r="32" spans="1:10" ht="14.25">
      <c r="A32" s="107" t="s">
        <v>145</v>
      </c>
      <c r="B32" s="107" t="s">
        <v>146</v>
      </c>
      <c r="C32" s="105">
        <v>134</v>
      </c>
      <c r="D32" s="108"/>
      <c r="E32" s="105"/>
      <c r="F32" s="105"/>
      <c r="G32" s="105">
        <v>1750</v>
      </c>
      <c r="H32" s="107"/>
      <c r="I32" s="109"/>
      <c r="J32" s="105">
        <f>C32*G32/12*8</f>
        <v>156333.33333333334</v>
      </c>
    </row>
    <row r="33" spans="1:10" ht="14.25">
      <c r="A33" s="107" t="s">
        <v>145</v>
      </c>
      <c r="B33" s="107" t="s">
        <v>122</v>
      </c>
      <c r="C33" s="105"/>
      <c r="D33" s="108">
        <v>138</v>
      </c>
      <c r="E33" s="105"/>
      <c r="F33" s="105"/>
      <c r="G33" s="105">
        <v>1750</v>
      </c>
      <c r="H33" s="107"/>
      <c r="I33" s="109"/>
      <c r="J33" s="105">
        <f>D33*G33/12*4</f>
        <v>80500</v>
      </c>
    </row>
    <row r="34" spans="1:10" ht="14.25">
      <c r="A34" s="133" t="s">
        <v>147</v>
      </c>
      <c r="B34" s="107" t="s">
        <v>148</v>
      </c>
      <c r="C34" s="105"/>
      <c r="D34" s="108"/>
      <c r="E34" s="105"/>
      <c r="F34" s="105">
        <f>F35+F36+F37</f>
        <v>103</v>
      </c>
      <c r="G34" s="105">
        <v>68000</v>
      </c>
      <c r="H34" s="107"/>
      <c r="I34" s="109"/>
      <c r="J34" s="105">
        <f>F34*G34</f>
        <v>7004000</v>
      </c>
    </row>
    <row r="35" spans="1:10" ht="14.25">
      <c r="A35" s="107"/>
      <c r="B35" s="107" t="s">
        <v>132</v>
      </c>
      <c r="C35" s="105"/>
      <c r="D35" s="108"/>
      <c r="E35" s="105"/>
      <c r="F35" s="111">
        <v>90</v>
      </c>
      <c r="G35" s="105"/>
      <c r="H35" s="107"/>
      <c r="I35" s="109"/>
      <c r="J35" s="105"/>
    </row>
    <row r="36" spans="1:10" ht="14.25">
      <c r="A36" s="107"/>
      <c r="B36" s="107" t="s">
        <v>133</v>
      </c>
      <c r="C36" s="105"/>
      <c r="D36" s="108"/>
      <c r="E36" s="105"/>
      <c r="F36" s="111">
        <v>13</v>
      </c>
      <c r="G36" s="105"/>
      <c r="H36" s="107"/>
      <c r="I36" s="109"/>
      <c r="J36" s="105"/>
    </row>
    <row r="37" spans="1:10" ht="14.25">
      <c r="A37" s="107"/>
      <c r="B37" s="107" t="s">
        <v>134</v>
      </c>
      <c r="C37" s="105"/>
      <c r="D37" s="108"/>
      <c r="E37" s="105"/>
      <c r="F37" s="111">
        <v>0</v>
      </c>
      <c r="G37" s="105"/>
      <c r="H37" s="107"/>
      <c r="I37" s="107"/>
      <c r="J37" s="105"/>
    </row>
    <row r="38" spans="1:10" ht="12.75">
      <c r="A38" s="106" t="s">
        <v>149</v>
      </c>
      <c r="B38" s="112" t="s">
        <v>136</v>
      </c>
      <c r="C38" s="113"/>
      <c r="D38" s="114">
        <v>105</v>
      </c>
      <c r="E38" s="113"/>
      <c r="F38" s="113"/>
      <c r="G38" s="113">
        <v>12000</v>
      </c>
      <c r="H38" s="112"/>
      <c r="I38" s="112"/>
      <c r="J38" s="105">
        <f>D38*G38</f>
        <v>1260000</v>
      </c>
    </row>
    <row r="39" spans="1:10" ht="12.75">
      <c r="A39" s="106"/>
      <c r="B39" s="112"/>
      <c r="C39" s="113"/>
      <c r="D39" s="114"/>
      <c r="E39" s="113"/>
      <c r="F39" s="113"/>
      <c r="G39" s="113"/>
      <c r="H39" s="112"/>
      <c r="I39" s="127"/>
      <c r="J39" s="105"/>
    </row>
    <row r="40" spans="1:10" ht="12.75">
      <c r="A40" s="106" t="s">
        <v>103</v>
      </c>
      <c r="B40" s="112" t="s">
        <v>104</v>
      </c>
      <c r="C40" s="113">
        <v>15</v>
      </c>
      <c r="D40" s="114"/>
      <c r="E40" s="113"/>
      <c r="F40" s="113"/>
      <c r="G40" s="113">
        <v>6300</v>
      </c>
      <c r="H40" s="112"/>
      <c r="I40" s="127"/>
      <c r="J40" s="107">
        <f>C40*G40/12*8</f>
        <v>63000</v>
      </c>
    </row>
    <row r="41" spans="1:10" ht="12.75">
      <c r="A41" s="106" t="s">
        <v>103</v>
      </c>
      <c r="B41" s="112" t="s">
        <v>104</v>
      </c>
      <c r="C41" s="113"/>
      <c r="D41" s="114">
        <v>15</v>
      </c>
      <c r="E41" s="113"/>
      <c r="F41" s="113"/>
      <c r="G41" s="113">
        <v>6300</v>
      </c>
      <c r="H41" s="112"/>
      <c r="I41" s="112"/>
      <c r="J41" s="105">
        <f>D41*G41/12*4</f>
        <v>31500</v>
      </c>
    </row>
    <row r="42" spans="1:10" ht="12.75">
      <c r="A42" s="106" t="s">
        <v>150</v>
      </c>
      <c r="B42" s="112" t="s">
        <v>151</v>
      </c>
      <c r="C42" s="113">
        <v>8</v>
      </c>
      <c r="D42" s="114"/>
      <c r="E42" s="113"/>
      <c r="F42" s="113"/>
      <c r="G42" s="113">
        <v>26000</v>
      </c>
      <c r="H42" s="112"/>
      <c r="I42" s="112"/>
      <c r="J42" s="105">
        <f>C42*G42/12*8</f>
        <v>138666.66666666666</v>
      </c>
    </row>
    <row r="43" spans="1:10" ht="12.75">
      <c r="A43" s="106" t="s">
        <v>150</v>
      </c>
      <c r="B43" s="112" t="s">
        <v>151</v>
      </c>
      <c r="C43" s="113"/>
      <c r="D43" s="114">
        <v>8</v>
      </c>
      <c r="E43" s="113"/>
      <c r="F43" s="113"/>
      <c r="G43" s="113">
        <v>26000</v>
      </c>
      <c r="H43" s="112"/>
      <c r="I43" s="112"/>
      <c r="J43" s="105">
        <f>D43*G43/12*4</f>
        <v>69333.33333333333</v>
      </c>
    </row>
    <row r="44" spans="1:10" ht="12.75">
      <c r="A44" s="128"/>
      <c r="B44" s="129" t="s">
        <v>43</v>
      </c>
      <c r="C44" s="113"/>
      <c r="D44" s="114"/>
      <c r="E44" s="113"/>
      <c r="F44" s="113"/>
      <c r="G44" s="113"/>
      <c r="H44" s="112"/>
      <c r="I44" s="112"/>
      <c r="J44" s="130">
        <f>SUM(J8:J43)</f>
        <v>33638283.015873015</v>
      </c>
    </row>
    <row r="45" spans="1:10" ht="12.75">
      <c r="A45" s="42"/>
      <c r="B45" s="131" t="s">
        <v>140</v>
      </c>
      <c r="C45" s="42"/>
      <c r="D45" s="132"/>
      <c r="E45" s="42"/>
      <c r="F45" s="42"/>
      <c r="G45" s="42"/>
      <c r="H45" s="42"/>
      <c r="I45" s="42"/>
      <c r="J45" s="105">
        <v>36082526</v>
      </c>
    </row>
    <row r="46" spans="1:10" ht="12.75">
      <c r="A46" s="42"/>
      <c r="B46" s="42"/>
      <c r="C46" s="42"/>
      <c r="D46" s="132"/>
      <c r="E46" s="42"/>
      <c r="F46" s="42"/>
      <c r="G46" s="42"/>
      <c r="H46" s="42"/>
      <c r="I46" s="42"/>
      <c r="J46" s="122">
        <f>J44-J45</f>
        <v>-2444242.984126985</v>
      </c>
    </row>
  </sheetData>
  <sheetProtection selectLockedCells="1" selectUnlockedCells="1"/>
  <mergeCells count="2">
    <mergeCell ref="A5:B5"/>
    <mergeCell ref="C5:D5"/>
  </mergeCells>
  <printOptions/>
  <pageMargins left="0.39375" right="0" top="0.9840277777777777" bottom="0.9840277777777777" header="0.5118055555555555" footer="0.5118055555555555"/>
  <pageSetup horizontalDpi="300" verticalDpi="3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SheetLayoutView="100" workbookViewId="0" topLeftCell="A1">
      <pane ySplit="65535" topLeftCell="A1" activePane="topLeft" state="split"/>
      <selection pane="topLeft" activeCell="O27" sqref="O27"/>
      <selection pane="bottomLeft" activeCell="A1" sqref="A1"/>
    </sheetView>
  </sheetViews>
  <sheetFormatPr defaultColWidth="9.00390625" defaultRowHeight="12.75"/>
  <cols>
    <col min="1" max="1" width="7.25390625" style="0" customWidth="1"/>
    <col min="2" max="2" width="21.25390625" style="0" customWidth="1"/>
    <col min="3" max="3" width="9.75390625" style="0" customWidth="1"/>
    <col min="4" max="4" width="9.875" style="0" customWidth="1"/>
    <col min="5" max="5" width="9.625" style="0" customWidth="1"/>
    <col min="6" max="6" width="5.625" style="0" customWidth="1"/>
    <col min="7" max="7" width="8.625" style="0" customWidth="1"/>
    <col min="9" max="9" width="6.00390625" style="0" customWidth="1"/>
    <col min="10" max="10" width="9.50390625" style="0" customWidth="1"/>
  </cols>
  <sheetData>
    <row r="1" ht="12.75">
      <c r="B1" s="99" t="s">
        <v>152</v>
      </c>
    </row>
    <row r="3" spans="1:12" ht="14.25">
      <c r="A3" s="100" t="s">
        <v>72</v>
      </c>
      <c r="B3" s="100"/>
      <c r="C3" s="100" t="s">
        <v>73</v>
      </c>
      <c r="D3" s="100"/>
      <c r="E3" s="100" t="s">
        <v>74</v>
      </c>
      <c r="F3" s="100" t="s">
        <v>153</v>
      </c>
      <c r="G3" s="100" t="s">
        <v>154</v>
      </c>
      <c r="H3" s="100" t="s">
        <v>76</v>
      </c>
      <c r="I3" s="100" t="s">
        <v>77</v>
      </c>
      <c r="J3" s="100" t="s">
        <v>47</v>
      </c>
      <c r="L3" s="99"/>
    </row>
    <row r="4" spans="1:10" ht="14.25">
      <c r="A4" s="100"/>
      <c r="B4" s="100"/>
      <c r="C4" s="101">
        <v>40817</v>
      </c>
      <c r="D4" s="102">
        <v>41183</v>
      </c>
      <c r="E4" s="101" t="s">
        <v>78</v>
      </c>
      <c r="F4" s="101" t="s">
        <v>79</v>
      </c>
      <c r="G4" s="100" t="s">
        <v>80</v>
      </c>
      <c r="H4" s="100" t="s">
        <v>81</v>
      </c>
      <c r="I4" s="100" t="s">
        <v>82</v>
      </c>
      <c r="J4" s="100" t="s">
        <v>83</v>
      </c>
    </row>
    <row r="5" spans="1:11" ht="14.25">
      <c r="A5" s="107" t="s">
        <v>155</v>
      </c>
      <c r="B5" s="107" t="s">
        <v>108</v>
      </c>
      <c r="C5" s="105">
        <v>164</v>
      </c>
      <c r="D5" s="108"/>
      <c r="E5" s="105">
        <v>21</v>
      </c>
      <c r="F5" s="105"/>
      <c r="G5" s="105">
        <v>2350000</v>
      </c>
      <c r="H5" s="107">
        <v>1.2</v>
      </c>
      <c r="I5" s="109">
        <f>ROUND((C5/21*H5),1)</f>
        <v>9.4</v>
      </c>
      <c r="J5" s="105">
        <f>G5*I5/12*8-70607</f>
        <v>14656059.666666666</v>
      </c>
      <c r="K5" s="126"/>
    </row>
    <row r="6" spans="1:10" ht="14.25">
      <c r="A6" s="107" t="s">
        <v>107</v>
      </c>
      <c r="B6" s="107" t="s">
        <v>109</v>
      </c>
      <c r="C6" s="105">
        <v>92</v>
      </c>
      <c r="D6" s="108"/>
      <c r="E6" s="105">
        <v>21</v>
      </c>
      <c r="F6" s="105"/>
      <c r="G6" s="105">
        <v>2350000</v>
      </c>
      <c r="H6" s="107">
        <v>1.22</v>
      </c>
      <c r="I6" s="109">
        <f>ROUND((C6/21*H6),1)</f>
        <v>5.3</v>
      </c>
      <c r="J6" s="105">
        <f>G6*I6/12*8+89241</f>
        <v>8392574.333333332</v>
      </c>
    </row>
    <row r="7" spans="1:10" ht="14.25">
      <c r="A7" s="107" t="s">
        <v>107</v>
      </c>
      <c r="B7" s="107" t="s">
        <v>110</v>
      </c>
      <c r="C7" s="105">
        <v>95</v>
      </c>
      <c r="D7" s="108"/>
      <c r="E7" s="105">
        <v>21</v>
      </c>
      <c r="F7" s="105"/>
      <c r="G7" s="105">
        <v>2350000</v>
      </c>
      <c r="H7" s="107">
        <v>1.39</v>
      </c>
      <c r="I7" s="109">
        <f>ROUND((C7/21*H7),1)</f>
        <v>6.3</v>
      </c>
      <c r="J7" s="105">
        <f>G7*I7/12*8-37980</f>
        <v>9832020</v>
      </c>
    </row>
    <row r="8" spans="1:10" ht="14.25">
      <c r="A8" s="107" t="s">
        <v>107</v>
      </c>
      <c r="B8" s="107" t="s">
        <v>111</v>
      </c>
      <c r="C8" s="105">
        <v>185</v>
      </c>
      <c r="D8" s="108"/>
      <c r="E8" s="105">
        <v>23</v>
      </c>
      <c r="F8" s="105"/>
      <c r="G8" s="105">
        <v>2350000</v>
      </c>
      <c r="H8" s="107">
        <v>1.55</v>
      </c>
      <c r="I8" s="109">
        <f>ROUND((C8/23*H8),1)</f>
        <v>12.5</v>
      </c>
      <c r="J8" s="134">
        <f>G8*I8/12*8-71680</f>
        <v>19511653.333333332</v>
      </c>
    </row>
    <row r="9" spans="1:12" ht="14.25">
      <c r="A9" s="107" t="s">
        <v>107</v>
      </c>
      <c r="B9" s="107" t="s">
        <v>112</v>
      </c>
      <c r="C9" s="105">
        <v>194</v>
      </c>
      <c r="D9" s="108"/>
      <c r="E9" s="105">
        <v>23</v>
      </c>
      <c r="F9" s="105"/>
      <c r="G9" s="105">
        <v>2350000</v>
      </c>
      <c r="H9" s="107">
        <v>1.76</v>
      </c>
      <c r="I9" s="109">
        <f>ROUND((C9/23*H9),1)</f>
        <v>14.8</v>
      </c>
      <c r="J9" s="105">
        <f>G9*I9/12*8+60359</f>
        <v>23247025.666666668</v>
      </c>
      <c r="L9" s="99"/>
    </row>
    <row r="10" spans="1:10" ht="14.25">
      <c r="A10" s="107" t="s">
        <v>107</v>
      </c>
      <c r="B10" s="107" t="s">
        <v>108</v>
      </c>
      <c r="C10" s="105"/>
      <c r="D10" s="108">
        <v>163</v>
      </c>
      <c r="E10" s="105">
        <v>21</v>
      </c>
      <c r="F10" s="105"/>
      <c r="G10" s="105">
        <v>2350000</v>
      </c>
      <c r="H10" s="107">
        <v>1.2</v>
      </c>
      <c r="I10" s="109">
        <f>ROUND((D10/21*H10),1)</f>
        <v>9.3</v>
      </c>
      <c r="J10" s="105">
        <f>G10*I10/12*4+11190</f>
        <v>7296190</v>
      </c>
    </row>
    <row r="11" spans="1:10" ht="14.25">
      <c r="A11" s="107" t="s">
        <v>107</v>
      </c>
      <c r="B11" s="107" t="s">
        <v>109</v>
      </c>
      <c r="C11" s="105"/>
      <c r="D11" s="108">
        <v>83</v>
      </c>
      <c r="E11" s="105">
        <v>21</v>
      </c>
      <c r="F11" s="105"/>
      <c r="G11" s="105">
        <v>2350000</v>
      </c>
      <c r="H11" s="107">
        <v>1.22</v>
      </c>
      <c r="I11" s="109">
        <f>ROUND((D11/E11*H11),1)</f>
        <v>4.8</v>
      </c>
      <c r="J11" s="105">
        <f>G11*I11/12*4-5516</f>
        <v>3754484</v>
      </c>
    </row>
    <row r="12" spans="1:10" ht="14.25">
      <c r="A12" s="107" t="s">
        <v>107</v>
      </c>
      <c r="B12" s="107" t="s">
        <v>110</v>
      </c>
      <c r="C12" s="105"/>
      <c r="D12" s="108">
        <v>92</v>
      </c>
      <c r="E12" s="105">
        <v>21</v>
      </c>
      <c r="F12" s="105"/>
      <c r="G12" s="105">
        <v>2350000</v>
      </c>
      <c r="H12" s="107">
        <v>1.39</v>
      </c>
      <c r="I12" s="109">
        <f>ROUND((D12/E12*H12),1)</f>
        <v>6.1</v>
      </c>
      <c r="J12" s="105">
        <f>G12*I12/12*4+10908</f>
        <v>4789241.333333333</v>
      </c>
    </row>
    <row r="13" spans="1:10" ht="14.25">
      <c r="A13" s="107" t="s">
        <v>107</v>
      </c>
      <c r="B13" s="107" t="s">
        <v>111</v>
      </c>
      <c r="C13" s="105"/>
      <c r="D13" s="108">
        <v>184</v>
      </c>
      <c r="E13" s="105">
        <v>23</v>
      </c>
      <c r="F13" s="105"/>
      <c r="G13" s="105">
        <v>2350000</v>
      </c>
      <c r="H13" s="107">
        <v>1.55</v>
      </c>
      <c r="I13" s="109">
        <f>ROUND((D13/E13*H13),1)</f>
        <v>12.4</v>
      </c>
      <c r="J13" s="105">
        <f>G13*I13/12*4-12931</f>
        <v>9700402.333333334</v>
      </c>
    </row>
    <row r="14" spans="1:12" ht="14.25">
      <c r="A14" s="107" t="s">
        <v>107</v>
      </c>
      <c r="B14" s="107" t="s">
        <v>112</v>
      </c>
      <c r="C14" s="105"/>
      <c r="D14" s="108">
        <v>184</v>
      </c>
      <c r="E14" s="105">
        <v>23</v>
      </c>
      <c r="F14" s="105"/>
      <c r="G14" s="105">
        <v>2350000</v>
      </c>
      <c r="H14" s="107">
        <v>1.76</v>
      </c>
      <c r="I14" s="109">
        <f>ROUND((D14/E14*H14),1)</f>
        <v>14.1</v>
      </c>
      <c r="J14" s="105">
        <f>G14*I14/12*4-20516</f>
        <v>11024484</v>
      </c>
      <c r="L14" s="99"/>
    </row>
    <row r="15" spans="1:12" ht="14.25">
      <c r="A15" s="107" t="s">
        <v>113</v>
      </c>
      <c r="B15" s="107" t="s">
        <v>114</v>
      </c>
      <c r="C15" s="105">
        <v>193</v>
      </c>
      <c r="D15" s="108"/>
      <c r="E15" s="105">
        <v>25</v>
      </c>
      <c r="F15" s="105"/>
      <c r="G15" s="105">
        <v>2350000</v>
      </c>
      <c r="H15" s="107">
        <v>0.24</v>
      </c>
      <c r="I15" s="109">
        <f>ROUND((C15/E15*H15),1)</f>
        <v>1.9</v>
      </c>
      <c r="J15" s="105">
        <f>G15*I15/12*8</f>
        <v>2976666.6666666665</v>
      </c>
      <c r="L15" s="99"/>
    </row>
    <row r="16" spans="1:10" ht="14.25">
      <c r="A16" s="107" t="s">
        <v>113</v>
      </c>
      <c r="B16" s="107" t="s">
        <v>115</v>
      </c>
      <c r="C16" s="105">
        <v>96</v>
      </c>
      <c r="D16" s="108"/>
      <c r="E16" s="105">
        <v>25</v>
      </c>
      <c r="F16" s="105"/>
      <c r="G16" s="105">
        <v>2350000</v>
      </c>
      <c r="H16" s="107">
        <v>0.16</v>
      </c>
      <c r="I16" s="109">
        <f>ROUND((C16/E16*H16),1)</f>
        <v>0.6</v>
      </c>
      <c r="J16" s="105">
        <f>G16*I16/12*8-5838</f>
        <v>934162</v>
      </c>
    </row>
    <row r="17" spans="1:10" ht="14.25">
      <c r="A17" s="107" t="s">
        <v>113</v>
      </c>
      <c r="B17" s="107" t="s">
        <v>116</v>
      </c>
      <c r="C17" s="105">
        <v>143</v>
      </c>
      <c r="D17" s="108"/>
      <c r="E17" s="105">
        <v>21</v>
      </c>
      <c r="F17" s="105"/>
      <c r="G17" s="105">
        <v>2350000</v>
      </c>
      <c r="H17" s="107">
        <v>0.27</v>
      </c>
      <c r="I17" s="109">
        <f>ROUND((C17/E17*H17),1)</f>
        <v>1.8</v>
      </c>
      <c r="J17" s="105">
        <f>G17*I17/12*8+43584</f>
        <v>2863584</v>
      </c>
    </row>
    <row r="18" spans="1:12" ht="14.25">
      <c r="A18" s="107" t="s">
        <v>113</v>
      </c>
      <c r="B18" s="107" t="s">
        <v>117</v>
      </c>
      <c r="C18" s="105"/>
      <c r="D18" s="108">
        <v>185</v>
      </c>
      <c r="E18" s="105">
        <v>25</v>
      </c>
      <c r="F18" s="105"/>
      <c r="G18" s="105">
        <v>2350000</v>
      </c>
      <c r="H18" s="107">
        <v>0.24</v>
      </c>
      <c r="I18" s="109">
        <f>ROUND((D18/E18*H18),1)</f>
        <v>1.8</v>
      </c>
      <c r="J18" s="105">
        <f>G18*I18/12*4</f>
        <v>1410000</v>
      </c>
      <c r="L18" s="99"/>
    </row>
    <row r="19" spans="1:10" ht="14.25">
      <c r="A19" s="107" t="s">
        <v>113</v>
      </c>
      <c r="B19" s="107" t="s">
        <v>118</v>
      </c>
      <c r="C19" s="105"/>
      <c r="D19" s="108">
        <v>111</v>
      </c>
      <c r="E19" s="105">
        <v>25</v>
      </c>
      <c r="F19" s="105"/>
      <c r="G19" s="105">
        <v>2350000</v>
      </c>
      <c r="H19" s="107">
        <v>0.16</v>
      </c>
      <c r="I19" s="109">
        <f>ROUND((D19/E19*H19),1)</f>
        <v>0.7</v>
      </c>
      <c r="J19" s="105">
        <f>G19*I19/12*4+31333</f>
        <v>579666.3333333334</v>
      </c>
    </row>
    <row r="20" spans="1:10" ht="14.25">
      <c r="A20" s="107" t="s">
        <v>113</v>
      </c>
      <c r="B20" s="107" t="s">
        <v>116</v>
      </c>
      <c r="C20" s="105"/>
      <c r="D20" s="108">
        <v>130</v>
      </c>
      <c r="E20" s="105">
        <v>21</v>
      </c>
      <c r="F20" s="105"/>
      <c r="G20" s="105">
        <v>2350000</v>
      </c>
      <c r="H20" s="107">
        <v>0.27</v>
      </c>
      <c r="I20" s="109">
        <f>ROUND((D20/E20*H20),1)</f>
        <v>1.7</v>
      </c>
      <c r="J20" s="105">
        <f>G20*I20/12*4-12582</f>
        <v>1319084.6666666667</v>
      </c>
    </row>
    <row r="21" spans="1:10" ht="14.25">
      <c r="A21" s="107" t="s">
        <v>156</v>
      </c>
      <c r="B21" s="107" t="s">
        <v>157</v>
      </c>
      <c r="C21" s="105"/>
      <c r="D21" s="108"/>
      <c r="E21" s="105"/>
      <c r="F21" s="105"/>
      <c r="G21" s="105">
        <v>134400</v>
      </c>
      <c r="H21" s="107"/>
      <c r="I21" s="109"/>
      <c r="J21" s="105">
        <f>C21*G21/12*8</f>
        <v>0</v>
      </c>
    </row>
    <row r="22" spans="1:10" ht="14.25">
      <c r="A22" s="107" t="s">
        <v>158</v>
      </c>
      <c r="B22" s="107" t="s">
        <v>124</v>
      </c>
      <c r="C22" s="105">
        <v>23</v>
      </c>
      <c r="D22" s="108"/>
      <c r="E22" s="105"/>
      <c r="F22" s="105"/>
      <c r="G22" s="105">
        <v>358400</v>
      </c>
      <c r="H22" s="107"/>
      <c r="I22" s="109"/>
      <c r="J22" s="105">
        <f>C22*G22/12*8</f>
        <v>5495466.666666667</v>
      </c>
    </row>
    <row r="23" spans="1:10" ht="14.25">
      <c r="A23" s="107" t="s">
        <v>159</v>
      </c>
      <c r="B23" s="107" t="s">
        <v>124</v>
      </c>
      <c r="C23" s="105"/>
      <c r="D23" s="108">
        <v>14</v>
      </c>
      <c r="E23" s="105"/>
      <c r="F23" s="105"/>
      <c r="G23" s="105">
        <v>358400</v>
      </c>
      <c r="H23" s="107"/>
      <c r="I23" s="109"/>
      <c r="J23" s="105">
        <f>D23*G23/12*4</f>
        <v>1672533.3333333333</v>
      </c>
    </row>
    <row r="24" spans="1:10" ht="14.25">
      <c r="A24" s="107" t="s">
        <v>160</v>
      </c>
      <c r="B24" s="107" t="s">
        <v>126</v>
      </c>
      <c r="C24" s="105">
        <v>53</v>
      </c>
      <c r="D24" s="108"/>
      <c r="E24" s="105"/>
      <c r="F24" s="105"/>
      <c r="G24" s="105">
        <v>179200</v>
      </c>
      <c r="H24" s="107"/>
      <c r="I24" s="109"/>
      <c r="J24" s="105">
        <f>C24*G24/12*8</f>
        <v>6331733.333333333</v>
      </c>
    </row>
    <row r="25" spans="1:10" ht="14.25">
      <c r="A25" s="107" t="s">
        <v>161</v>
      </c>
      <c r="B25" s="107" t="s">
        <v>126</v>
      </c>
      <c r="C25" s="105"/>
      <c r="D25" s="108">
        <v>52</v>
      </c>
      <c r="E25" s="105"/>
      <c r="F25" s="105"/>
      <c r="G25" s="105">
        <v>179200</v>
      </c>
      <c r="H25" s="107"/>
      <c r="I25" s="109"/>
      <c r="J25" s="105">
        <f>D25*G25/12*4</f>
        <v>3106133.3333333335</v>
      </c>
    </row>
    <row r="26" spans="1:11" ht="14.25">
      <c r="A26" s="107" t="s">
        <v>162</v>
      </c>
      <c r="B26" s="107" t="s">
        <v>144</v>
      </c>
      <c r="C26" s="105">
        <v>8</v>
      </c>
      <c r="D26" s="108"/>
      <c r="E26" s="105"/>
      <c r="F26" s="105"/>
      <c r="G26" s="105">
        <v>156800</v>
      </c>
      <c r="H26" s="107"/>
      <c r="I26" s="109"/>
      <c r="J26" s="105">
        <f>C26*G26/12*8</f>
        <v>836266.6666666666</v>
      </c>
      <c r="K26" s="110"/>
    </row>
    <row r="27" spans="1:10" ht="14.25">
      <c r="A27" s="107" t="s">
        <v>163</v>
      </c>
      <c r="B27" s="107" t="s">
        <v>144</v>
      </c>
      <c r="C27" s="105"/>
      <c r="D27" s="108">
        <v>7</v>
      </c>
      <c r="E27" s="105"/>
      <c r="F27" s="105"/>
      <c r="G27" s="105">
        <v>156800</v>
      </c>
      <c r="H27" s="107"/>
      <c r="I27" s="109"/>
      <c r="J27" s="105">
        <f>D27*G27/12*4</f>
        <v>365866.6666666667</v>
      </c>
    </row>
    <row r="28" spans="1:10" ht="14.25">
      <c r="A28" s="106" t="s">
        <v>164</v>
      </c>
      <c r="B28" s="107" t="s">
        <v>122</v>
      </c>
      <c r="C28" s="105">
        <v>730</v>
      </c>
      <c r="D28" s="108"/>
      <c r="E28" s="105"/>
      <c r="F28" s="105"/>
      <c r="G28" s="105">
        <v>1750</v>
      </c>
      <c r="H28" s="107"/>
      <c r="I28" s="109"/>
      <c r="J28" s="105">
        <f>C28*G28/12*8</f>
        <v>851666.6666666666</v>
      </c>
    </row>
    <row r="29" spans="1:10" ht="14.25">
      <c r="A29" s="106" t="s">
        <v>164</v>
      </c>
      <c r="B29" s="107" t="s">
        <v>122</v>
      </c>
      <c r="C29" s="105"/>
      <c r="D29" s="108">
        <v>706</v>
      </c>
      <c r="E29" s="105"/>
      <c r="F29" s="105"/>
      <c r="G29" s="105">
        <v>1750</v>
      </c>
      <c r="H29" s="107"/>
      <c r="I29" s="109"/>
      <c r="J29" s="105">
        <f>D29*G29/12*4-84</f>
        <v>411749.3333333333</v>
      </c>
    </row>
    <row r="30" spans="1:12" ht="14.25">
      <c r="A30" s="107" t="s">
        <v>165</v>
      </c>
      <c r="B30" s="107" t="s">
        <v>166</v>
      </c>
      <c r="C30" s="105">
        <v>28</v>
      </c>
      <c r="D30" s="108"/>
      <c r="E30" s="105"/>
      <c r="F30" s="105"/>
      <c r="G30" s="105">
        <v>32000</v>
      </c>
      <c r="H30" s="107"/>
      <c r="I30" s="109"/>
      <c r="J30" s="105">
        <f>C30*G30/12*8</f>
        <v>597333.3333333334</v>
      </c>
      <c r="L30" s="99"/>
    </row>
    <row r="31" spans="1:12" ht="14.25">
      <c r="A31" s="107" t="s">
        <v>165</v>
      </c>
      <c r="B31" s="107" t="s">
        <v>166</v>
      </c>
      <c r="C31" s="105"/>
      <c r="D31" s="108">
        <v>28</v>
      </c>
      <c r="E31" s="105"/>
      <c r="F31" s="105"/>
      <c r="G31" s="105">
        <v>32000</v>
      </c>
      <c r="H31" s="107"/>
      <c r="I31" s="109"/>
      <c r="J31" s="105">
        <f>D31*G31/12*4</f>
        <v>298666.6666666667</v>
      </c>
      <c r="L31" s="99"/>
    </row>
    <row r="32" spans="1:12" ht="14.25">
      <c r="A32" s="107"/>
      <c r="B32" s="107" t="s">
        <v>148</v>
      </c>
      <c r="C32" s="105"/>
      <c r="D32" s="108"/>
      <c r="E32" s="105"/>
      <c r="F32" s="105">
        <f>F33+F34+F35</f>
        <v>353</v>
      </c>
      <c r="G32" s="105">
        <v>68000</v>
      </c>
      <c r="H32" s="107"/>
      <c r="I32" s="109"/>
      <c r="J32" s="105">
        <f>F32*G32</f>
        <v>24004000</v>
      </c>
      <c r="L32" s="99"/>
    </row>
    <row r="33" spans="1:10" ht="14.25">
      <c r="A33" s="107"/>
      <c r="B33" s="107" t="s">
        <v>132</v>
      </c>
      <c r="C33" s="105"/>
      <c r="D33" s="108"/>
      <c r="E33" s="105"/>
      <c r="F33" s="111">
        <v>262</v>
      </c>
      <c r="G33" s="105"/>
      <c r="H33" s="107"/>
      <c r="I33" s="109"/>
      <c r="J33" s="105"/>
    </row>
    <row r="34" spans="1:10" ht="14.25">
      <c r="A34" s="107"/>
      <c r="B34" s="107" t="s">
        <v>133</v>
      </c>
      <c r="C34" s="105"/>
      <c r="D34" s="108"/>
      <c r="E34" s="105"/>
      <c r="F34" s="111">
        <v>72</v>
      </c>
      <c r="G34" s="105"/>
      <c r="H34" s="107"/>
      <c r="I34" s="109"/>
      <c r="J34" s="105"/>
    </row>
    <row r="35" spans="1:10" ht="14.25">
      <c r="A35" s="106" t="s">
        <v>167</v>
      </c>
      <c r="B35" s="107" t="s">
        <v>134</v>
      </c>
      <c r="C35" s="105"/>
      <c r="D35" s="108"/>
      <c r="E35" s="105"/>
      <c r="F35" s="111">
        <v>19</v>
      </c>
      <c r="G35" s="105"/>
      <c r="H35" s="107"/>
      <c r="I35" s="107"/>
      <c r="J35" s="105"/>
    </row>
    <row r="36" spans="1:10" ht="14.25">
      <c r="A36" s="106" t="s">
        <v>103</v>
      </c>
      <c r="B36" s="112" t="s">
        <v>136</v>
      </c>
      <c r="C36" s="113"/>
      <c r="D36" s="114">
        <v>433</v>
      </c>
      <c r="E36" s="113"/>
      <c r="F36" s="113"/>
      <c r="G36" s="113">
        <v>12000</v>
      </c>
      <c r="H36" s="112"/>
      <c r="I36" s="127"/>
      <c r="J36" s="105">
        <f>D36*G36</f>
        <v>5196000</v>
      </c>
    </row>
    <row r="37" spans="1:10" ht="14.25">
      <c r="A37" s="106" t="s">
        <v>103</v>
      </c>
      <c r="B37" s="112" t="s">
        <v>104</v>
      </c>
      <c r="C37" s="113">
        <v>59</v>
      </c>
      <c r="D37" s="114"/>
      <c r="E37" s="113"/>
      <c r="F37" s="113"/>
      <c r="G37" s="113">
        <v>6300</v>
      </c>
      <c r="H37" s="112"/>
      <c r="I37" s="112"/>
      <c r="J37" s="105">
        <f>C37*G37/12*8</f>
        <v>247800</v>
      </c>
    </row>
    <row r="38" spans="1:10" ht="14.25">
      <c r="A38" s="106" t="s">
        <v>168</v>
      </c>
      <c r="B38" s="112" t="s">
        <v>104</v>
      </c>
      <c r="C38" s="113"/>
      <c r="D38" s="114">
        <v>59</v>
      </c>
      <c r="E38" s="113"/>
      <c r="F38" s="113"/>
      <c r="G38" s="113">
        <v>6300</v>
      </c>
      <c r="H38" s="112"/>
      <c r="I38" s="112"/>
      <c r="J38" s="105">
        <f>D38*G38/12*4</f>
        <v>123900</v>
      </c>
    </row>
    <row r="39" spans="1:10" ht="14.25">
      <c r="A39" s="106" t="s">
        <v>168</v>
      </c>
      <c r="B39" s="112" t="s">
        <v>151</v>
      </c>
      <c r="C39" s="113">
        <v>33</v>
      </c>
      <c r="D39" s="114"/>
      <c r="E39" s="113"/>
      <c r="F39" s="113"/>
      <c r="G39" s="113">
        <v>26000</v>
      </c>
      <c r="H39" s="112"/>
      <c r="I39" s="112"/>
      <c r="J39" s="105">
        <f>C39*G39/12*8</f>
        <v>572000</v>
      </c>
    </row>
    <row r="40" spans="1:10" ht="14.25">
      <c r="A40" s="106" t="s">
        <v>169</v>
      </c>
      <c r="B40" s="112" t="s">
        <v>151</v>
      </c>
      <c r="C40" s="113"/>
      <c r="D40" s="114">
        <v>33</v>
      </c>
      <c r="E40" s="113"/>
      <c r="F40" s="113"/>
      <c r="G40" s="113">
        <v>26000</v>
      </c>
      <c r="H40" s="112"/>
      <c r="I40" s="112"/>
      <c r="J40" s="105">
        <f>D40*G40/12*4</f>
        <v>286000</v>
      </c>
    </row>
    <row r="41" spans="1:10" ht="14.25">
      <c r="A41" s="106" t="s">
        <v>169</v>
      </c>
      <c r="B41" s="112" t="s">
        <v>170</v>
      </c>
      <c r="C41" s="113">
        <v>12</v>
      </c>
      <c r="D41" s="114"/>
      <c r="E41" s="113"/>
      <c r="F41" s="113"/>
      <c r="G41" s="113">
        <v>65000</v>
      </c>
      <c r="H41" s="112"/>
      <c r="I41" s="112"/>
      <c r="J41" s="105">
        <f>C41*G41/12*8</f>
        <v>520000</v>
      </c>
    </row>
    <row r="42" spans="1:10" ht="14.25">
      <c r="A42" s="128"/>
      <c r="B42" s="112" t="s">
        <v>170</v>
      </c>
      <c r="C42" s="113"/>
      <c r="D42" s="114">
        <v>12</v>
      </c>
      <c r="E42" s="113"/>
      <c r="F42" s="113"/>
      <c r="G42" s="113">
        <v>65000</v>
      </c>
      <c r="H42" s="112"/>
      <c r="I42" s="112"/>
      <c r="J42" s="105">
        <f>D42*G42/12*4</f>
        <v>260000</v>
      </c>
    </row>
    <row r="43" spans="1:12" ht="14.25">
      <c r="A43" s="42"/>
      <c r="B43" s="129" t="s">
        <v>43</v>
      </c>
      <c r="C43" s="113"/>
      <c r="D43" s="114"/>
      <c r="E43" s="113"/>
      <c r="F43" s="113"/>
      <c r="G43" s="113"/>
      <c r="H43" s="112"/>
      <c r="I43" s="112"/>
      <c r="J43" s="130">
        <f>SUM(J5:J42)</f>
        <v>173464414.3333333</v>
      </c>
      <c r="L43" s="135"/>
    </row>
    <row r="44" spans="1:10" ht="14.25">
      <c r="A44" s="136"/>
      <c r="B44" s="131" t="s">
        <v>140</v>
      </c>
      <c r="C44" s="42"/>
      <c r="D44" s="132"/>
      <c r="E44" s="42"/>
      <c r="F44" s="42"/>
      <c r="G44" s="42"/>
      <c r="H44" s="42"/>
      <c r="I44" s="42"/>
      <c r="J44" s="105">
        <v>245212938</v>
      </c>
    </row>
    <row r="45" spans="1:10" ht="14.25">
      <c r="A45" s="136"/>
      <c r="B45" s="42"/>
      <c r="C45" s="42"/>
      <c r="D45" s="132"/>
      <c r="E45" s="42"/>
      <c r="F45" s="42"/>
      <c r="G45" s="42"/>
      <c r="H45" s="42"/>
      <c r="I45" s="42"/>
      <c r="J45" s="122">
        <f>J43-J44</f>
        <v>-71748523.66666669</v>
      </c>
    </row>
  </sheetData>
  <sheetProtection selectLockedCells="1" selectUnlockedCells="1"/>
  <mergeCells count="2">
    <mergeCell ref="A3:B3"/>
    <mergeCell ref="C3:D3"/>
  </mergeCells>
  <printOptions/>
  <pageMargins left="0.22083333333333333" right="0" top="0.9840277777777777" bottom="0.9840277777777777" header="0.5118055555555555" footer="0.5118055555555555"/>
  <pageSetup horizontalDpi="300" verticalDpi="300" orientation="portrait" paperSize="9" scale="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2012-02-03T09:45:40Z</cp:lastPrinted>
  <dcterms:created xsi:type="dcterms:W3CDTF">2011-11-25T11:37:02Z</dcterms:created>
  <dcterms:modified xsi:type="dcterms:W3CDTF">2012-02-03T09:55:44Z</dcterms:modified>
  <cp:category/>
  <cp:version/>
  <cp:contentType/>
  <cp:contentStatus/>
  <cp:revision>111</cp:revision>
</cp:coreProperties>
</file>