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.címrend 1" sheetId="1" r:id="rId1"/>
    <sheet name="2.címrend 2" sheetId="2" r:id="rId2"/>
    <sheet name="3.mérleg ÚJ" sheetId="3" r:id="rId3"/>
    <sheet name="4.mérleg működési" sheetId="4" r:id="rId4"/>
    <sheet name="5.mérleg felhalmozási" sheetId="5" r:id="rId5"/>
    <sheet name="6.önállóak bev-kiad" sheetId="6" r:id="rId6"/>
    <sheet name="7.részl. bevételek" sheetId="7" r:id="rId7"/>
    <sheet name="8.részl.kiadások" sheetId="8" r:id="rId8"/>
    <sheet name="9.R.önálló int" sheetId="9" r:id="rId9"/>
    <sheet name="10.Felhalm." sheetId="10" r:id="rId10"/>
  </sheets>
  <externalReferences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<sst xmlns="http://schemas.openxmlformats.org/spreadsheetml/2006/main" count="918" uniqueCount="494">
  <si>
    <t>Címrend a rendelet 1. §-hoz</t>
  </si>
  <si>
    <t>A</t>
  </si>
  <si>
    <t>B</t>
  </si>
  <si>
    <t>Sorszám</t>
  </si>
  <si>
    <t>Megnevezés</t>
  </si>
  <si>
    <t>1.</t>
  </si>
  <si>
    <t>Vári Emil Társulási Általános Iskola</t>
  </si>
  <si>
    <t xml:space="preserve">                  </t>
  </si>
  <si>
    <t>2.</t>
  </si>
  <si>
    <t>Bessenyei György Gimnázium és Kollégium</t>
  </si>
  <si>
    <t>3.</t>
  </si>
  <si>
    <t>II. Rákóczi Ferenc Szakközép és Szakiskola</t>
  </si>
  <si>
    <t>4.</t>
  </si>
  <si>
    <t>Kisvárdai Szolgáltató Szervezet és  önállóan működő intézmények</t>
  </si>
  <si>
    <t>5.</t>
  </si>
  <si>
    <t>4/1.</t>
  </si>
  <si>
    <t>Somogyi Rezső Általános Iskola</t>
  </si>
  <si>
    <t>6.</t>
  </si>
  <si>
    <t>4/2.</t>
  </si>
  <si>
    <t>Teichmann Vilmos Általános Iskola</t>
  </si>
  <si>
    <t>7.</t>
  </si>
  <si>
    <t xml:space="preserve"> 4/3.</t>
  </si>
  <si>
    <r>
      <t xml:space="preserve">Weiner Leó Alapfokú Zene és Műv. </t>
    </r>
    <r>
      <rPr>
        <sz val="10"/>
        <rFont val="Arial CE"/>
        <family val="2"/>
      </rPr>
      <t>Iskola</t>
    </r>
  </si>
  <si>
    <t>8.</t>
  </si>
  <si>
    <t xml:space="preserve">  4/4.</t>
  </si>
  <si>
    <t>Csillag-Közi Központi Társulási Óvoda</t>
  </si>
  <si>
    <t>9.</t>
  </si>
  <si>
    <t>4/5.</t>
  </si>
  <si>
    <t>Városi Bölcsőde</t>
  </si>
  <si>
    <t>10.</t>
  </si>
  <si>
    <t>4/6.</t>
  </si>
  <si>
    <t>Kistérségi Szociális Szolgálat</t>
  </si>
  <si>
    <t>11.</t>
  </si>
  <si>
    <t>4/7.</t>
  </si>
  <si>
    <t>Pedagógiai Szakszolgálatok Kisvárda</t>
  </si>
  <si>
    <t>12.</t>
  </si>
  <si>
    <t>Városi Könyvtár</t>
  </si>
  <si>
    <t>13.</t>
  </si>
  <si>
    <t>Várszínház és Művészetek Háza</t>
  </si>
  <si>
    <t>14.</t>
  </si>
  <si>
    <t>Hivatásos Önkormányzati Tűzoltóság</t>
  </si>
  <si>
    <t>15.</t>
  </si>
  <si>
    <t xml:space="preserve">8. </t>
  </si>
  <si>
    <t>Polgári Védelmi Társulás</t>
  </si>
  <si>
    <t>16.</t>
  </si>
  <si>
    <t>Felső Szabolcsi Kórház</t>
  </si>
  <si>
    <t>17.</t>
  </si>
  <si>
    <t>Városi Egészségügyi Alapellátás</t>
  </si>
  <si>
    <t>18.</t>
  </si>
  <si>
    <t>Polgármesteri Hivatal</t>
  </si>
  <si>
    <t>19.</t>
  </si>
  <si>
    <t>Cigány Kisebbségi Önkormányzat</t>
  </si>
  <si>
    <t>20.</t>
  </si>
  <si>
    <t>Ruszin Kisebbségi Önkormányzat</t>
  </si>
  <si>
    <t xml:space="preserve">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</si>
  <si>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</si>
  <si>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</si>
  <si>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</si>
  <si>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</si>
  <si>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</si>
  <si>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</si>
  <si>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</si>
  <si>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</si>
  <si>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</si>
  <si>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</si>
  <si>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2010. terv  01.01.</t>
  </si>
  <si>
    <t>2010. terv 12.31.</t>
  </si>
  <si>
    <t>2010. tény</t>
  </si>
  <si>
    <t>2011. terv 01.01.</t>
  </si>
  <si>
    <t>2011. terv 03.01.</t>
  </si>
  <si>
    <t>2011. terv 04.01.</t>
  </si>
  <si>
    <t>2011. terv 07.01.</t>
  </si>
  <si>
    <t>2011. terv 08.15.</t>
  </si>
  <si>
    <t>II. Rákóczi Ferenc Szakközép és Szakisk.</t>
  </si>
  <si>
    <t>Kisvárdai Szolgáltató Szervezet és részben önálló intézményei</t>
  </si>
  <si>
    <t xml:space="preserve">    Közfoglalkoztatás</t>
  </si>
  <si>
    <t xml:space="preserve">    Cigány Kisebbségi Önkormányzat</t>
  </si>
  <si>
    <t xml:space="preserve">    Ruszin Kisebbségi Önkormányzat</t>
  </si>
  <si>
    <t>Összesen</t>
  </si>
  <si>
    <t>2010 terv 01.01</t>
  </si>
  <si>
    <t>Kisvárdai Szolgáltató Szervezet</t>
  </si>
  <si>
    <t>4/1</t>
  </si>
  <si>
    <t>4/3.</t>
  </si>
  <si>
    <t>21.</t>
  </si>
  <si>
    <t>4/4.</t>
  </si>
  <si>
    <t>22.</t>
  </si>
  <si>
    <t>23.</t>
  </si>
  <si>
    <t>24.</t>
  </si>
  <si>
    <t>25.</t>
  </si>
  <si>
    <t>1. Bevételek</t>
  </si>
  <si>
    <t>adatok ezer forintban</t>
  </si>
  <si>
    <t xml:space="preserve">Bevételek </t>
  </si>
  <si>
    <t>2009. évi tény</t>
  </si>
  <si>
    <t>2010. évi tény</t>
  </si>
  <si>
    <t>2011. évi terv</t>
  </si>
  <si>
    <t>I.   Működési bevételek</t>
  </si>
  <si>
    <t xml:space="preserve">    1.  Intézményi működési bevételek</t>
  </si>
  <si>
    <t xml:space="preserve">        OEP finansz. intézmény működési bevétel</t>
  </si>
  <si>
    <t xml:space="preserve">    2. Önkormányzat sajátos működési bevételei</t>
  </si>
  <si>
    <t xml:space="preserve">       Iparűzési</t>
  </si>
  <si>
    <t xml:space="preserve">       Kommunális</t>
  </si>
  <si>
    <t xml:space="preserve">       Idegenforgalmi</t>
  </si>
  <si>
    <t xml:space="preserve">       Átengedett központi adó gépjármű</t>
  </si>
  <si>
    <t xml:space="preserve">       SZJA </t>
  </si>
  <si>
    <t xml:space="preserve">       Egyéb sajátos bevétel</t>
  </si>
  <si>
    <t xml:space="preserve">       Bírság, pótlék,egyéb</t>
  </si>
  <si>
    <t>II. Támogatások</t>
  </si>
  <si>
    <t xml:space="preserve">       Normatív hozzájárulás</t>
  </si>
  <si>
    <t xml:space="preserve">       Kötött felhasználású normatíva</t>
  </si>
  <si>
    <t xml:space="preserve">       Tűzoltóság</t>
  </si>
  <si>
    <t xml:space="preserve">       Színház támogatás</t>
  </si>
  <si>
    <t xml:space="preserve">       Központosított szociális támogatás</t>
  </si>
  <si>
    <t xml:space="preserve">       Központosított </t>
  </si>
  <si>
    <t xml:space="preserve">       Fejlesztési célú, vis maior CÉDE támogatás</t>
  </si>
  <si>
    <t>III. Felhalmozási és tőkejellegű bevételek</t>
  </si>
  <si>
    <t xml:space="preserve">     1. Tárgyi eszközök, immateriális javak értékesítése</t>
  </si>
  <si>
    <t xml:space="preserve">     2. Önkormányzat sajátos tőke jellegű bevétele</t>
  </si>
  <si>
    <t>26.</t>
  </si>
  <si>
    <t xml:space="preserve">     3. Pénzügyi befektetések bevételei</t>
  </si>
  <si>
    <t>27.</t>
  </si>
  <si>
    <t xml:space="preserve">     4. Egyéb felhalmozási célú bevételek</t>
  </si>
  <si>
    <t>28.</t>
  </si>
  <si>
    <t>IV. Támogatás értékű bevétel</t>
  </si>
  <si>
    <t>29.</t>
  </si>
  <si>
    <t xml:space="preserve">     1. Támogatás értékű működési bevétel</t>
  </si>
  <si>
    <t>30.</t>
  </si>
  <si>
    <r>
      <t xml:space="preserve">         </t>
    </r>
    <r>
      <rPr>
        <sz val="8"/>
        <rFont val="Arial CE"/>
        <family val="2"/>
      </rPr>
      <t>ebből OEP-től átvett</t>
    </r>
  </si>
  <si>
    <t>31.</t>
  </si>
  <si>
    <r>
      <t xml:space="preserve">    </t>
    </r>
    <r>
      <rPr>
        <sz val="8"/>
        <rFont val="Arial CE"/>
        <family val="2"/>
      </rPr>
      <t xml:space="preserve"> 2. Támogatás értékű felhalmozási bevétel</t>
    </r>
  </si>
  <si>
    <t>32.</t>
  </si>
  <si>
    <t xml:space="preserve">         ebből OEP-től átvett</t>
  </si>
  <si>
    <t>33.</t>
  </si>
  <si>
    <t>V.  Véglegesen átvett pénzeszköz</t>
  </si>
  <si>
    <t>34.</t>
  </si>
  <si>
    <t>35.</t>
  </si>
  <si>
    <t>36.</t>
  </si>
  <si>
    <t>VI. Támogatási kölcsönök visszatérülése</t>
  </si>
  <si>
    <t>37.</t>
  </si>
  <si>
    <t>38.</t>
  </si>
  <si>
    <t>Költségvetési bevételek összesen I+II+III+IV+V+VI</t>
  </si>
  <si>
    <t>39.</t>
  </si>
  <si>
    <t>VII. Pénzforgalom nélküli bevétel</t>
  </si>
  <si>
    <t>40.</t>
  </si>
  <si>
    <t>41.</t>
  </si>
  <si>
    <t>42.</t>
  </si>
  <si>
    <t>43.</t>
  </si>
  <si>
    <t>44.</t>
  </si>
  <si>
    <t>VIII. Értékpapírok értékesítése, kibocsátása</t>
  </si>
  <si>
    <t>45.</t>
  </si>
  <si>
    <t xml:space="preserve">   1. Forgatási célú értékpapírok bevételei</t>
  </si>
  <si>
    <t>46.</t>
  </si>
  <si>
    <t xml:space="preserve">   2. Befektetési célú értékpapírok bevételei</t>
  </si>
  <si>
    <t>47.</t>
  </si>
  <si>
    <t>IX. Kötvények kibocsátásának bevétele</t>
  </si>
  <si>
    <t>48.</t>
  </si>
  <si>
    <t>X. Hitelek</t>
  </si>
  <si>
    <t>49.</t>
  </si>
  <si>
    <t xml:space="preserve">    Működési célú hitel felvétele</t>
  </si>
  <si>
    <t>50.</t>
  </si>
  <si>
    <t xml:space="preserve">    Likvid hitel felvétele</t>
  </si>
  <si>
    <t>51.</t>
  </si>
  <si>
    <t xml:space="preserve">    Felhalmozási célú hitel felvétele</t>
  </si>
  <si>
    <t>52.</t>
  </si>
  <si>
    <t>XI. Függő, átfutó bevételek</t>
  </si>
  <si>
    <t>53.</t>
  </si>
  <si>
    <t>54.</t>
  </si>
  <si>
    <t>Finanszírozási célú műveletek bevétele VIII+IX+X+XI</t>
  </si>
  <si>
    <t>55.</t>
  </si>
  <si>
    <t>Bevételek összesen 38+39+54</t>
  </si>
  <si>
    <t>2. Kiadások</t>
  </si>
  <si>
    <t xml:space="preserve">Kiadások </t>
  </si>
  <si>
    <t>56.</t>
  </si>
  <si>
    <t>I.  Működési kiadások</t>
  </si>
  <si>
    <t>57.</t>
  </si>
  <si>
    <t xml:space="preserve">      Intézményi kiadások</t>
  </si>
  <si>
    <t>58.</t>
  </si>
  <si>
    <t xml:space="preserve">      OEP intézmény</t>
  </si>
  <si>
    <t>59.</t>
  </si>
  <si>
    <t xml:space="preserve">      Polgármesteri Hivatal</t>
  </si>
  <si>
    <t>60.</t>
  </si>
  <si>
    <t xml:space="preserve">      Cigány kisebbségi önkormányzat</t>
  </si>
  <si>
    <t>61.</t>
  </si>
  <si>
    <t xml:space="preserve">      Ruszin kisebbségi önkormányzat</t>
  </si>
  <si>
    <t>62.</t>
  </si>
  <si>
    <t>Ebből:</t>
  </si>
  <si>
    <t>63.</t>
  </si>
  <si>
    <t xml:space="preserve">      Személyi juttatások</t>
  </si>
  <si>
    <t>64.</t>
  </si>
  <si>
    <t xml:space="preserve">      Munkaadót terhelő járulék</t>
  </si>
  <si>
    <t>65.</t>
  </si>
  <si>
    <t xml:space="preserve">      Ellátottak pénzbeli juttatásai</t>
  </si>
  <si>
    <t>66.</t>
  </si>
  <si>
    <t xml:space="preserve">      Dologi és egyéb folyó kiadások</t>
  </si>
  <si>
    <t>67.</t>
  </si>
  <si>
    <t xml:space="preserve">      Normatív visszafizetés</t>
  </si>
  <si>
    <t>68.</t>
  </si>
  <si>
    <t xml:space="preserve">      Kamat kiadás</t>
  </si>
  <si>
    <t>69.</t>
  </si>
  <si>
    <t xml:space="preserve">      Támogatásértékű kiadás, működési pénzeszköz átadás</t>
  </si>
  <si>
    <t>70.</t>
  </si>
  <si>
    <t xml:space="preserve">  Társadalom- és szociálpolitikai juttatás</t>
  </si>
  <si>
    <t>71.</t>
  </si>
  <si>
    <t xml:space="preserve">  Kölcsönök nyújtása</t>
  </si>
  <si>
    <t>72.</t>
  </si>
  <si>
    <t xml:space="preserve">  Működési célú pénzmaradvány átadás</t>
  </si>
  <si>
    <t>73.</t>
  </si>
  <si>
    <t xml:space="preserve">  Garancia- és kezességvállalás kiadásai</t>
  </si>
  <si>
    <t>74.</t>
  </si>
  <si>
    <t>75.</t>
  </si>
  <si>
    <t>II.  Felhalmozási kiadások</t>
  </si>
  <si>
    <t>76.</t>
  </si>
  <si>
    <t xml:space="preserve">     Beruházások</t>
  </si>
  <si>
    <t>77.</t>
  </si>
  <si>
    <t xml:space="preserve">     Felújítások</t>
  </si>
  <si>
    <t>78.</t>
  </si>
  <si>
    <t xml:space="preserve"> Felhalmozási célú kamatkiadások</t>
  </si>
  <si>
    <t>79.</t>
  </si>
  <si>
    <t xml:space="preserve">     Támogatásértékű és felhalmozási pénzeszköz átadás</t>
  </si>
  <si>
    <t>80.</t>
  </si>
  <si>
    <t xml:space="preserve"> Felhalmozási célú kölcsönök nyújtása</t>
  </si>
  <si>
    <t>81.</t>
  </si>
  <si>
    <t xml:space="preserve">     Egyéb felhalmozási célú kiadások</t>
  </si>
  <si>
    <t>82.</t>
  </si>
  <si>
    <t xml:space="preserve"> Pénzügyi befektetések kiadásai</t>
  </si>
  <si>
    <t>83.</t>
  </si>
  <si>
    <t xml:space="preserve"> Felhalmozási célú pénzmaradvány átadás</t>
  </si>
  <si>
    <t>84.</t>
  </si>
  <si>
    <t>85.</t>
  </si>
  <si>
    <t>III. Tartalék</t>
  </si>
  <si>
    <t>86.</t>
  </si>
  <si>
    <t xml:space="preserve">     Céltartalék</t>
  </si>
  <si>
    <t>87.</t>
  </si>
  <si>
    <t xml:space="preserve">     Általános tartalék</t>
  </si>
  <si>
    <t>88.</t>
  </si>
  <si>
    <t xml:space="preserve">     Felhalmozási tartalék</t>
  </si>
  <si>
    <t>89.</t>
  </si>
  <si>
    <t>IV. Egyéb kiadások</t>
  </si>
  <si>
    <t>90.</t>
  </si>
  <si>
    <t>Költségvetési kiadások összesen I+II+III+IV</t>
  </si>
  <si>
    <t>91.</t>
  </si>
  <si>
    <t>V. Hitelek törlesztése</t>
  </si>
  <si>
    <t>92.</t>
  </si>
  <si>
    <t xml:space="preserve">      Felhalmozási célú hitel törlesztése</t>
  </si>
  <si>
    <t>93.</t>
  </si>
  <si>
    <t xml:space="preserve">      Működési célú hitel törlesztés</t>
  </si>
  <si>
    <t>94.</t>
  </si>
  <si>
    <t xml:space="preserve">      Likvid hitelek törlesztése</t>
  </si>
  <si>
    <t>95.</t>
  </si>
  <si>
    <t>Vi. Értékpapírok beváltása, vásárlása</t>
  </si>
  <si>
    <t>96.</t>
  </si>
  <si>
    <t xml:space="preserve">  Forgatási célú értékpapír beváltása, vásárlása</t>
  </si>
  <si>
    <t>97.</t>
  </si>
  <si>
    <t xml:space="preserve">  Befektetési célú értékpapír beváltása, vásárlása</t>
  </si>
  <si>
    <t>98.</t>
  </si>
  <si>
    <t>VII.Függő, átfutó kiadások</t>
  </si>
  <si>
    <t>99.</t>
  </si>
  <si>
    <t>Finanszírozási célú műveletek kiadása V+VI+VII</t>
  </si>
  <si>
    <t>100.</t>
  </si>
  <si>
    <t>Kiadások összesen 90+99</t>
  </si>
  <si>
    <t>101.</t>
  </si>
  <si>
    <t>102.</t>
  </si>
  <si>
    <t>KÖLTSÉGVETÉSI HIÁNY, TÖBBLET 38-90</t>
  </si>
  <si>
    <t>103.</t>
  </si>
  <si>
    <t>FINANSZÍROZÁSI CÉLÚ MŰVELETEK EGYENLEGE 54-99</t>
  </si>
  <si>
    <t>L</t>
  </si>
  <si>
    <t>M</t>
  </si>
  <si>
    <t>N</t>
  </si>
  <si>
    <t>Bevétel megnevezése</t>
  </si>
  <si>
    <t>2011. évi   terv</t>
  </si>
  <si>
    <t>Kiadás megnevezése</t>
  </si>
  <si>
    <t>Intézményi működési bevételek</t>
  </si>
  <si>
    <t>Személyi juttatások</t>
  </si>
  <si>
    <t>Munkaadókat terhelő járulék</t>
  </si>
  <si>
    <t>Támogatások, kiegészítések</t>
  </si>
  <si>
    <t>Dologi és egyéb folyó kiadások</t>
  </si>
  <si>
    <t>Támogatásértékű bevételek</t>
  </si>
  <si>
    <t xml:space="preserve">    Normatív visszafizetés</t>
  </si>
  <si>
    <t>Működési célú pénzeszköz átvétel</t>
  </si>
  <si>
    <t>Működési célú kamatkiadások</t>
  </si>
  <si>
    <t>Ellátottak pénzbeli juttatása</t>
  </si>
  <si>
    <t>Társadalom- és szociálpolitikai juttatás</t>
  </si>
  <si>
    <t>Működési célú kölcsön nyújtása</t>
  </si>
  <si>
    <t>Pénzmaradvány átadás</t>
  </si>
  <si>
    <t>Tartalékok</t>
  </si>
  <si>
    <t>Költségvetési bevételek összesen:</t>
  </si>
  <si>
    <t>Költségvetési kiadások összesen:</t>
  </si>
  <si>
    <t>Előző évi működési célú pénzmaradvány igénybevétele</t>
  </si>
  <si>
    <t>Rövid lejáratú hitelek törlesztése</t>
  </si>
  <si>
    <t>Likvid hitelek törlesztése</t>
  </si>
  <si>
    <t>Rövid lejáratú hitelek felvétel</t>
  </si>
  <si>
    <t>Hosszú lejáratú hitelek törlesztése</t>
  </si>
  <si>
    <t>Likvid hitelek felvétele</t>
  </si>
  <si>
    <t>Forgatási célú értékpapír beváltása</t>
  </si>
  <si>
    <t>Hosszú lejáratú hitelek felvétele</t>
  </si>
  <si>
    <t>Forgatási célú értékpapírok vásárlása</t>
  </si>
  <si>
    <t>Befektetési célú értékpapír beváltása</t>
  </si>
  <si>
    <t>Forgatási célú értékpapírok értékesítése</t>
  </si>
  <si>
    <t>Befektetési célú értékpapír kibocsátása</t>
  </si>
  <si>
    <t>Függő, átfutó, kiegyenlítő kiadások</t>
  </si>
  <si>
    <t>Függő, átfutó, kiegyenlítő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</si>
  <si>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</si>
  <si>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</si>
  <si>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</si>
  <si>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</si>
  <si>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</si>
  <si>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</si>
  <si>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Intézményi beruházás</t>
  </si>
  <si>
    <t>Felújítás</t>
  </si>
  <si>
    <t>Támogatásértékű felhalmozási kiadás</t>
  </si>
  <si>
    <t>Felhalmozási célú pénzeszközátadás</t>
  </si>
  <si>
    <t>Cél-, címzett és egyéb központi támogatás</t>
  </si>
  <si>
    <t>Pénzügyi befektetések kiadásai</t>
  </si>
  <si>
    <t>Fejlesztési és vis maior támogatás</t>
  </si>
  <si>
    <t>Kölcsönök nyújtása</t>
  </si>
  <si>
    <t>Felhalmozási célú kamatkiadások</t>
  </si>
  <si>
    <t>Kölcsönök visszatérülése</t>
  </si>
  <si>
    <t>Egyéb kiadások</t>
  </si>
  <si>
    <t>Fejlesztések visszaigényelhető áfája</t>
  </si>
  <si>
    <t>Előző évi felh. célú pénzm. igénybev.</t>
  </si>
  <si>
    <t>Rövid lejáratú hitelek felvétele</t>
  </si>
  <si>
    <t>Forgatási célú értékpapír kibocsátása</t>
  </si>
  <si>
    <t>Finanszírozási célú bevétel (14+…+22)</t>
  </si>
  <si>
    <t>Finanszírozási célú kiadás (13+...+22)</t>
  </si>
  <si>
    <t>BEVÉTELEK ÖSSZESEN (12+13+23)</t>
  </si>
  <si>
    <t>KIADÁSOK ÖSSZESEN (12+23)</t>
  </si>
  <si>
    <t>Intézmény neve</t>
  </si>
  <si>
    <t>Járulékok</t>
  </si>
  <si>
    <t>Bessenyei György Gimnázium</t>
  </si>
  <si>
    <t>Kisebbségi Önkormányzatok</t>
  </si>
  <si>
    <t>Mindösszesen</t>
  </si>
  <si>
    <t>B  e  v  é  t  e  l  e  k</t>
  </si>
  <si>
    <t>K  i  a  d  á  s  o  k</t>
  </si>
  <si>
    <t>Kiadásból személyi juttatás</t>
  </si>
  <si>
    <t>Eredeti előirányzat</t>
  </si>
  <si>
    <t>Módosított előirányzat</t>
  </si>
  <si>
    <t>Teljesítés</t>
  </si>
  <si>
    <t>%</t>
  </si>
  <si>
    <t>II. Rákóczi F. Szakközép és Szakiskola</t>
  </si>
  <si>
    <t>Intézményi működési bevétel</t>
  </si>
  <si>
    <t>Támogatás  értékű és átvett pénzeszköz</t>
  </si>
  <si>
    <t>Felhalmo-  zási bevétel</t>
  </si>
  <si>
    <t>Költség-  vetési támogatás</t>
  </si>
  <si>
    <t>Kölcsönök vissza-   térülése</t>
  </si>
  <si>
    <t>Pénz-   maradvány</t>
  </si>
  <si>
    <t>Hitel bevétel</t>
  </si>
  <si>
    <t>Függő, átfutó bevétel</t>
  </si>
  <si>
    <t>Vári E. Társ. Általános Iskola</t>
  </si>
  <si>
    <t>II. Rákóczi F. Szakközép-és Sz.</t>
  </si>
  <si>
    <t>Hiv. Önkormányzati Tűzoltóság</t>
  </si>
  <si>
    <t>Városi Eü Alapellátás</t>
  </si>
  <si>
    <t>Személyi  juttatások</t>
  </si>
  <si>
    <t>Dologi és egyéb folyó kiadás</t>
  </si>
  <si>
    <t>Támogatás értékű és átadott pénzeszköz</t>
  </si>
  <si>
    <t>Felhalmo-   zási   kiadások</t>
  </si>
  <si>
    <t>Költség- vetési szervnek folyósított támogatás</t>
  </si>
  <si>
    <t>Hitel visszafi-zetés</t>
  </si>
  <si>
    <t>Függő, átfutó kiadás</t>
  </si>
  <si>
    <t>Vári E. Társ. Általános Isk.</t>
  </si>
  <si>
    <t>Bessenyei Gy. Gimnázium</t>
  </si>
  <si>
    <t>II. Rákóczi F. Szakközép-,Sz</t>
  </si>
  <si>
    <t>Kisvárdai Szolgáltató Szerv.</t>
  </si>
  <si>
    <t>Várszínház és Művészetek H.</t>
  </si>
  <si>
    <t>Hiv. Önkorm. Tűzoltóság</t>
  </si>
  <si>
    <t>Városi Egészségügyi Alapell.</t>
  </si>
  <si>
    <t>Intézmény megnevezése</t>
  </si>
  <si>
    <t>Saját bevétel</t>
  </si>
  <si>
    <t>Költségve-tési támogatás</t>
  </si>
  <si>
    <t>Átvett pénzesz-  köz</t>
  </si>
  <si>
    <t>Pénzma-radvány</t>
  </si>
  <si>
    <t>Felhalm.     bevétel</t>
  </si>
  <si>
    <t>Csillagközi Központi Társ. Óvoda</t>
  </si>
  <si>
    <t>Weiner Leó Alapfokú Zene és Műv.</t>
  </si>
  <si>
    <t>Pedagógiai Szakszolgálat</t>
  </si>
  <si>
    <t>Kistérségi szociális Szolgálat</t>
  </si>
  <si>
    <t>Szolgáltató Szervezet</t>
  </si>
  <si>
    <t>Személyi jellegű kiadás</t>
  </si>
  <si>
    <t>Munkaadó-kat terhelő járulékok</t>
  </si>
  <si>
    <t>Dologi, folyó és átadott</t>
  </si>
  <si>
    <t xml:space="preserve">Ellátottak pénzbeli juttatásai </t>
  </si>
  <si>
    <t>Felhalmo-  zási kiadások</t>
  </si>
  <si>
    <t>1. Az önkormányzathoz tartozó intézmények felhalmozási bevételei</t>
  </si>
  <si>
    <t>Bevételek</t>
  </si>
  <si>
    <t>2011. terv</t>
  </si>
  <si>
    <t>2011.  módosított</t>
  </si>
  <si>
    <t>Ingatlan értékesítés</t>
  </si>
  <si>
    <t>Ingatlan értékesítés ÁFÁ-ja</t>
  </si>
  <si>
    <t>Lakossági közműfejlesztés támogatás</t>
  </si>
  <si>
    <t>Szennyvízcsatorna hálózat II. ütem előkészítéséhez KEOP támogatás</t>
  </si>
  <si>
    <t>Szennyvízcsatorna hálózat II. ütem előkészítéséhez kötvény</t>
  </si>
  <si>
    <t>Szennyvízcsatorna hálózat II. ütem előkészítéséhez lakossági hozzájárulás</t>
  </si>
  <si>
    <t>Szennyvízcsatorna hálózat II. ütem visszaigényelhető ÁFA-ja</t>
  </si>
  <si>
    <t>Magyar úti Óvoda akadálymentesítése ÉAOP-4.1.5-09 támogatás</t>
  </si>
  <si>
    <t>Vári Emil tetőfelújításra vis maior támogatás</t>
  </si>
  <si>
    <t>Kompetencia alapú oktatás bevezetése TÁMOP-3.1.4 támogatás</t>
  </si>
  <si>
    <t>Új szervezés-működési kultúra pályázat ÁROP támogatás</t>
  </si>
  <si>
    <t>Tanulói laptop beszerzése TIOP-1.1.1. pályázat</t>
  </si>
  <si>
    <t xml:space="preserve">Tanulói laptopok beszerzéséhez kötvény felhasználás </t>
  </si>
  <si>
    <t>Időskorúak, fogyatékkal élők nappali ell. ÉAOP.4.1.3. pályázat</t>
  </si>
  <si>
    <t>Időskorúak és fogyatékkal élők nappali ellátása kötvény felhasználás</t>
  </si>
  <si>
    <t>Városközpont funkcióbővítő fejlesztése ÉAOP-5.1.1/D támogatás</t>
  </si>
  <si>
    <t>Városközpont funkcióbővítő fejlesztéséhez kötvény felhasználás</t>
  </si>
  <si>
    <t>Számítástechn.eszközbeszerzés(okt. intézm.)TIOP-1.1.1-07/1 támogatás</t>
  </si>
  <si>
    <t>Önkormányzati vagyon, egyéb helyiségek bérbeadásának bevétele</t>
  </si>
  <si>
    <t>Bessenyei Gimnázium Arany János Tehetséggondozó program</t>
  </si>
  <si>
    <t>Felhalmozási célú kamatbevételek</t>
  </si>
  <si>
    <t>Városi Könyvtár felhalm. célú támogatás</t>
  </si>
  <si>
    <t>Kórház pénzmaradvány</t>
  </si>
  <si>
    <t>Önk. Hiv. Tűzoltóság pénzmaradvány</t>
  </si>
  <si>
    <t>Várszínház és Műv. Háza pénzmaradvány</t>
  </si>
  <si>
    <t>Hivatal kötvény pénzmaradvány</t>
  </si>
  <si>
    <t>Tompos úti óvoda felújításhoz ÉAOP 4.1.1/A.támogatás</t>
  </si>
  <si>
    <t>Tompos úti óvoda felújításhoz kötvény felhasználás</t>
  </si>
  <si>
    <t>KSZSZ gépek vásárlására, jármű felújítására felhalm.önkorm.támogatás</t>
  </si>
  <si>
    <t>Összesen:</t>
  </si>
  <si>
    <t>2. Az önkormányzathoz tartozó intézmények felhalmozási kiadásai</t>
  </si>
  <si>
    <t>Kiadások</t>
  </si>
  <si>
    <t xml:space="preserve">Ingatlan értékesítés ÁFA </t>
  </si>
  <si>
    <t>Lakossági közműfejlesztés támogatása</t>
  </si>
  <si>
    <t xml:space="preserve">Szennyvízcsatorna hálózat II. ütem </t>
  </si>
  <si>
    <t>Szennyvízcsatorna hálózat II. ütem ÁFA összege</t>
  </si>
  <si>
    <t>Magyar úti óvoda akadálymentesítési munkálatai</t>
  </si>
  <si>
    <t xml:space="preserve">Időskorúak és fogyatékkal élők nappali ellátása </t>
  </si>
  <si>
    <t>Számítástechnikai eszközök beszerzése oktatási intézmények részére</t>
  </si>
  <si>
    <t>Tervek, tanulmányok készítése, pályázatírás áthúzódó költsége</t>
  </si>
  <si>
    <t xml:space="preserve">Városközpont funkcióbővítő fejlesztése </t>
  </si>
  <si>
    <t>Csillag-közi Óvoda tetőszigetelése</t>
  </si>
  <si>
    <t>Darusziget utca csapadékvíz zárt kivitező csatorna építése</t>
  </si>
  <si>
    <t>Szüret út kisajátításának költsége testületi döntés alapján</t>
  </si>
  <si>
    <t xml:space="preserve">Ingatlankezelés szakfeladat épületfelújítás </t>
  </si>
  <si>
    <t>Szennyvízcsatorna hálózat kiépítése  (5 fél utca)</t>
  </si>
  <si>
    <t>Kistérségi Szociális Szolgálat homlokzat felújítása</t>
  </si>
  <si>
    <t>Szeméttároló edények beszerzése</t>
  </si>
  <si>
    <t>Besszenyei Gimnázium és Kollégium eszközbeszerzés AJTP</t>
  </si>
  <si>
    <t>Hiteltörlesztés</t>
  </si>
  <si>
    <t>Gépkocsi lízingdíj hivatal</t>
  </si>
  <si>
    <t>Városi Könyvtár eszközbeszerzés</t>
  </si>
  <si>
    <t>Kórház felújítás, felhalmozás</t>
  </si>
  <si>
    <t>Számítástechnikai eszközök, berendezések beszerzése</t>
  </si>
  <si>
    <t>Önk. Hiv. Tűzoltóság járműbeszerzés pénzmaradványból</t>
  </si>
  <si>
    <t>Várszínház és Műv. Háza színpadfelújítás pénzmaradványból</t>
  </si>
  <si>
    <t>Polg. Hivatal kötvény felhalmozási tartalék</t>
  </si>
  <si>
    <t>Tompos úti óvoda felújítása</t>
  </si>
  <si>
    <t>KSZSZ gépek vásárlása, jármű felújítása</t>
  </si>
  <si>
    <t>Költségvetési kiadások összesen</t>
  </si>
  <si>
    <t>Költségvetési bevételek összesen</t>
  </si>
  <si>
    <t xml:space="preserve">      Egyéb központi támogatás</t>
  </si>
  <si>
    <t xml:space="preserve">      Önhiki támogatás</t>
  </si>
  <si>
    <t xml:space="preserve">    1. Működési célú pénzeszköz államházt. kívülről</t>
  </si>
  <si>
    <t xml:space="preserve">    2. Felhalmozási pénzeszköz államházt. kívülről</t>
  </si>
  <si>
    <t xml:space="preserve">    2. Előző évek vállalkozási maradvány igénybevét.</t>
  </si>
  <si>
    <t xml:space="preserve">    1.1. Előző évi pénzmaradvány igénybevét.működési</t>
  </si>
  <si>
    <t xml:space="preserve">    1.2. Előző évi pénzmaradvány igénybevét.felhalmozási</t>
  </si>
  <si>
    <t>Telj.     %</t>
  </si>
  <si>
    <t>Telj. %</t>
  </si>
  <si>
    <t>II. Rákóczi F.SZKI TISZK-től átvett pénzeszköz</t>
  </si>
  <si>
    <t>Önkorm. sajátos működési bevételei</t>
  </si>
  <si>
    <t>Befektetési célú értékpapírok ért.</t>
  </si>
  <si>
    <t>Előző é. vállalk.eredmény</t>
  </si>
  <si>
    <t>Önkorm. sajátos felhalmozási bevételei</t>
  </si>
  <si>
    <t>Pénzügyi befektetésekből szárm.bevétel</t>
  </si>
  <si>
    <t>Átvett pénzeszköz államháztart. kívülről</t>
  </si>
  <si>
    <t>II. Rákóczi F.SZKI beruházási kiadások (TISZK)</t>
  </si>
  <si>
    <t>Központosított előirányzat,AJTP normatíva</t>
  </si>
  <si>
    <t>Befektetési célú értékpapírok vásárl.</t>
  </si>
  <si>
    <t>Garancia- és kezességváll. kiadása</t>
  </si>
  <si>
    <t>Támogatásért.kiadás,pénzeszköz átad</t>
  </si>
  <si>
    <t>Forgatási célú értékpapírok kibocsát.</t>
  </si>
  <si>
    <t>Forgatási célú értékpapírok értékesít.</t>
  </si>
  <si>
    <t>Befektetési célú értékpapír kibocsát.</t>
  </si>
  <si>
    <t>Felhalmozási célú pénzmaradv.átad</t>
  </si>
  <si>
    <t>Befektetési célú értékpapírok értékesít.</t>
  </si>
  <si>
    <t>Tárgyi eszközök, immat. javak értékesít.</t>
  </si>
  <si>
    <t>Működési célú kölcsön visszatérül.</t>
  </si>
  <si>
    <t>2011.tény 09.30.</t>
  </si>
  <si>
    <t>2011. terv 09.01.</t>
  </si>
  <si>
    <t>Bessenyei György Gimnázium és Koll.</t>
  </si>
  <si>
    <t>Weiner Leó Alapfokú Zene és Műv.Isk.</t>
  </si>
  <si>
    <t>Sor szám</t>
  </si>
  <si>
    <t>2011. évi IV.módosítás</t>
  </si>
  <si>
    <t>2011. 09.30. teljesítés</t>
  </si>
  <si>
    <t>Sportöltöző felújításának támogatása</t>
  </si>
  <si>
    <t>Parlagfűmentesítés támogatása</t>
  </si>
  <si>
    <t>Sportöltöző felújítása</t>
  </si>
  <si>
    <t>Parlagfűmentesítéshez fűkasza vásárlás</t>
  </si>
  <si>
    <t>Ivóvíz vezeték kiépítése Körny véd.Alap terhére (folyékony hull. elhelyezés)</t>
  </si>
  <si>
    <t xml:space="preserve">Kórház felújítás, beruházásra átvett OEP-től </t>
  </si>
  <si>
    <t>Folyékony hulladék elhelyezés (Környezetvédelmi Alap)</t>
  </si>
  <si>
    <t>A  2011. évi címrend szerinti költségvetési engedélyezett létszámkeret (álláshely) és III. negyedévi tényadatok</t>
  </si>
  <si>
    <t>1. Az önállóan gazdálkodó és működő költségvetési intézmények címrend szerinti engedélyezett létszámkerete és tényadatai</t>
  </si>
  <si>
    <t>2. Az önállóan működő költségvetési intézmények címrend szerinti engedélyezett létszámkerete és tényadatai</t>
  </si>
  <si>
    <t>Egészségügyi alapellátás</t>
  </si>
  <si>
    <t>II. Rákóczi F. SZKI hiteltörlesztés</t>
  </si>
  <si>
    <t>Részesedés vásárlása</t>
  </si>
  <si>
    <t>2011.09.30. teljesítés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</si>
</sst>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yyyy\-mm"/>
    <numFmt numFmtId="166" formatCode="0.0"/>
    <numFmt numFmtId="167" formatCode="_-* #,##0.00\ _F_t_-;\-* #,##0.00\ _F_t_-;_-* \-??\ _F_t_-;_-@_-"/>
    <numFmt numFmtId="168" formatCode="yyyy\-mm\-dd"/>
    <numFmt numFmtId="169" formatCode="#,##0_ ;\-#,##0\ 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000"/>
    <numFmt numFmtId="180" formatCode="0.000"/>
    <numFmt numFmtId="181" formatCode="_(* #,##0.000_);_(* \(#,##0.000\);_(* &quot;-&quot;??_);_(@_)"/>
    <numFmt numFmtId="182" formatCode="0.0000000"/>
    <numFmt numFmtId="183" formatCode="0.000000"/>
    <numFmt numFmtId="184" formatCode="0.0000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\ &quot;Ft&quot;"/>
    <numFmt numFmtId="189" formatCode="&quot;H-&quot;0000"/>
    <numFmt numFmtId="190" formatCode="m\.\ d\."/>
    <numFmt numFmtId="191" formatCode="mmm/yyyy"/>
  </numFmts>
  <fonts count="30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E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thin">
        <color indexed="8"/>
      </top>
      <bottom style="medium">
        <color indexed="8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24">
      <alignment/>
      <protection/>
    </xf>
    <xf numFmtId="0" fontId="3" fillId="0" borderId="0" xfId="24" applyFont="1" applyBorder="1" applyAlignment="1">
      <alignment horizontal="center"/>
      <protection/>
    </xf>
    <xf numFmtId="0" fontId="1" fillId="0" borderId="0" xfId="21" applyAlignment="1">
      <alignment/>
      <protection/>
    </xf>
    <xf numFmtId="0" fontId="3" fillId="0" borderId="0" xfId="24" applyFont="1" applyAlignment="1">
      <alignment horizontal="center"/>
      <protection/>
    </xf>
    <xf numFmtId="0" fontId="4" fillId="0" borderId="0" xfId="24" applyFont="1" applyAlignment="1">
      <alignment horizontal="center" wrapText="1"/>
      <protection/>
    </xf>
    <xf numFmtId="0" fontId="0" fillId="0" borderId="1" xfId="24" applyBorder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4" xfId="24" applyBorder="1">
      <alignment/>
      <protection/>
    </xf>
    <xf numFmtId="0" fontId="5" fillId="2" borderId="2" xfId="24" applyFont="1" applyFill="1" applyBorder="1" applyAlignment="1">
      <alignment horizontal="center"/>
      <protection/>
    </xf>
    <xf numFmtId="0" fontId="5" fillId="2" borderId="3" xfId="24" applyFont="1" applyFill="1" applyBorder="1" applyAlignment="1">
      <alignment horizontal="center"/>
      <protection/>
    </xf>
    <xf numFmtId="0" fontId="0" fillId="0" borderId="5" xfId="24" applyFont="1" applyBorder="1">
      <alignment/>
      <protection/>
    </xf>
    <xf numFmtId="0" fontId="5" fillId="0" borderId="6" xfId="24" applyFont="1" applyBorder="1" applyAlignment="1">
      <alignment horizontal="center"/>
      <protection/>
    </xf>
    <xf numFmtId="0" fontId="5" fillId="0" borderId="7" xfId="24" applyFont="1" applyBorder="1">
      <alignment/>
      <protection/>
    </xf>
    <xf numFmtId="0" fontId="5" fillId="0" borderId="8" xfId="24" applyFont="1" applyBorder="1" applyAlignment="1">
      <alignment horizontal="center"/>
      <protection/>
    </xf>
    <xf numFmtId="0" fontId="5" fillId="0" borderId="9" xfId="24" applyFont="1" applyBorder="1">
      <alignment/>
      <protection/>
    </xf>
    <xf numFmtId="0" fontId="0" fillId="0" borderId="10" xfId="24" applyFont="1" applyBorder="1">
      <alignment/>
      <protection/>
    </xf>
    <xf numFmtId="0" fontId="5" fillId="0" borderId="11" xfId="24" applyFont="1" applyBorder="1" applyAlignment="1">
      <alignment horizontal="center"/>
      <protection/>
    </xf>
    <xf numFmtId="0" fontId="5" fillId="0" borderId="12" xfId="24" applyFont="1" applyBorder="1" applyAlignment="1">
      <alignment wrapText="1"/>
      <protection/>
    </xf>
    <xf numFmtId="0" fontId="0" fillId="0" borderId="13" xfId="24" applyNumberFormat="1" applyFont="1" applyBorder="1" applyAlignment="1">
      <alignment horizontal="right"/>
      <protection/>
    </xf>
    <xf numFmtId="0" fontId="5" fillId="0" borderId="14" xfId="24" applyFont="1" applyBorder="1">
      <alignment/>
      <protection/>
    </xf>
    <xf numFmtId="0" fontId="0" fillId="0" borderId="8" xfId="24" applyNumberFormat="1" applyFont="1" applyBorder="1" applyAlignment="1">
      <alignment horizontal="right"/>
      <protection/>
    </xf>
    <xf numFmtId="49" fontId="0" fillId="0" borderId="8" xfId="24" applyNumberFormat="1" applyFont="1" applyBorder="1" applyAlignment="1">
      <alignment horizontal="right"/>
      <protection/>
    </xf>
    <xf numFmtId="49" fontId="0" fillId="0" borderId="15" xfId="24" applyNumberFormat="1" applyFont="1" applyBorder="1" applyAlignment="1">
      <alignment horizontal="right"/>
      <protection/>
    </xf>
    <xf numFmtId="0" fontId="5" fillId="0" borderId="16" xfId="24" applyFont="1" applyBorder="1">
      <alignment/>
      <protection/>
    </xf>
    <xf numFmtId="0" fontId="0" fillId="0" borderId="17" xfId="24" applyFont="1" applyBorder="1">
      <alignment/>
      <protection/>
    </xf>
    <xf numFmtId="0" fontId="0" fillId="0" borderId="18" xfId="24" applyFont="1" applyBorder="1">
      <alignment/>
      <protection/>
    </xf>
    <xf numFmtId="0" fontId="5" fillId="0" borderId="15" xfId="24" applyFont="1" applyBorder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5" applyFont="1">
      <alignment/>
      <protection/>
    </xf>
    <xf numFmtId="0" fontId="3" fillId="0" borderId="0" xfId="25" applyFont="1" applyAlignment="1">
      <alignment horizontal="center"/>
      <protection/>
    </xf>
    <xf numFmtId="0" fontId="6" fillId="0" borderId="0" xfId="25" applyFont="1">
      <alignment/>
      <protection/>
    </xf>
    <xf numFmtId="0" fontId="0" fillId="0" borderId="1" xfId="25" applyFont="1" applyBorder="1">
      <alignment/>
      <protection/>
    </xf>
    <xf numFmtId="0" fontId="0" fillId="0" borderId="2" xfId="25" applyFont="1" applyBorder="1" applyAlignment="1">
      <alignment horizontal="center"/>
      <protection/>
    </xf>
    <xf numFmtId="0" fontId="0" fillId="0" borderId="4" xfId="25" applyFont="1" applyBorder="1">
      <alignment/>
      <protection/>
    </xf>
    <xf numFmtId="0" fontId="7" fillId="2" borderId="19" xfId="25" applyFont="1" applyFill="1" applyBorder="1" applyAlignment="1">
      <alignment horizontal="center" vertical="center" wrapText="1"/>
      <protection/>
    </xf>
    <xf numFmtId="0" fontId="0" fillId="0" borderId="5" xfId="25" applyFont="1" applyBorder="1">
      <alignment/>
      <protection/>
    </xf>
    <xf numFmtId="0" fontId="0" fillId="0" borderId="20" xfId="25" applyFont="1" applyBorder="1">
      <alignment/>
      <protection/>
    </xf>
    <xf numFmtId="3" fontId="0" fillId="0" borderId="20" xfId="25" applyNumberFormat="1" applyFont="1" applyBorder="1">
      <alignment/>
      <protection/>
    </xf>
    <xf numFmtId="0" fontId="0" fillId="0" borderId="21" xfId="25" applyFont="1" applyBorder="1">
      <alignment/>
      <protection/>
    </xf>
    <xf numFmtId="3" fontId="0" fillId="0" borderId="21" xfId="25" applyNumberFormat="1" applyFont="1" applyBorder="1">
      <alignment/>
      <protection/>
    </xf>
    <xf numFmtId="3" fontId="0" fillId="0" borderId="22" xfId="25" applyNumberFormat="1" applyFont="1" applyBorder="1">
      <alignment/>
      <protection/>
    </xf>
    <xf numFmtId="3" fontId="0" fillId="0" borderId="23" xfId="25" applyNumberFormat="1" applyBorder="1">
      <alignment/>
      <protection/>
    </xf>
    <xf numFmtId="3" fontId="0" fillId="0" borderId="23" xfId="25" applyNumberFormat="1" applyFont="1" applyBorder="1">
      <alignment/>
      <protection/>
    </xf>
    <xf numFmtId="0" fontId="0" fillId="0" borderId="23" xfId="25" applyFont="1" applyBorder="1">
      <alignment/>
      <protection/>
    </xf>
    <xf numFmtId="3" fontId="0" fillId="0" borderId="24" xfId="25" applyNumberFormat="1" applyFont="1" applyBorder="1">
      <alignment/>
      <protection/>
    </xf>
    <xf numFmtId="0" fontId="0" fillId="0" borderId="18" xfId="25" applyFont="1" applyBorder="1">
      <alignment/>
      <protection/>
    </xf>
    <xf numFmtId="0" fontId="7" fillId="0" borderId="0" xfId="25" applyFont="1">
      <alignment/>
      <protection/>
    </xf>
    <xf numFmtId="0" fontId="4" fillId="2" borderId="25" xfId="25" applyFont="1" applyFill="1" applyBorder="1" applyAlignment="1">
      <alignment horizontal="center" vertical="center" wrapText="1"/>
      <protection/>
    </xf>
    <xf numFmtId="0" fontId="7" fillId="0" borderId="26" xfId="25" applyFont="1" applyFill="1" applyBorder="1" applyAlignment="1">
      <alignment horizontal="center"/>
      <protection/>
    </xf>
    <xf numFmtId="0" fontId="0" fillId="0" borderId="20" xfId="25" applyFont="1" applyFill="1" applyBorder="1" applyAlignment="1">
      <alignment horizontal="right"/>
      <protection/>
    </xf>
    <xf numFmtId="49" fontId="7" fillId="0" borderId="27" xfId="25" applyNumberFormat="1" applyFont="1" applyBorder="1" applyAlignment="1">
      <alignment horizontal="center"/>
      <protection/>
    </xf>
    <xf numFmtId="0" fontId="0" fillId="0" borderId="21" xfId="25" applyBorder="1">
      <alignment/>
      <protection/>
    </xf>
    <xf numFmtId="0" fontId="0" fillId="0" borderId="21" xfId="25" applyFont="1" applyFill="1" applyBorder="1" applyAlignment="1">
      <alignment horizontal="right"/>
      <protection/>
    </xf>
    <xf numFmtId="0" fontId="0" fillId="0" borderId="22" xfId="25" applyFont="1" applyFill="1" applyBorder="1" applyAlignment="1">
      <alignment horizontal="right"/>
      <protection/>
    </xf>
    <xf numFmtId="49" fontId="7" fillId="0" borderId="28" xfId="25" applyNumberFormat="1" applyFont="1" applyBorder="1" applyAlignment="1">
      <alignment horizontal="center"/>
      <protection/>
    </xf>
    <xf numFmtId="0" fontId="0" fillId="0" borderId="23" xfId="25" applyBorder="1">
      <alignment/>
      <protection/>
    </xf>
    <xf numFmtId="0" fontId="0" fillId="0" borderId="23" xfId="25" applyFont="1" applyFill="1" applyBorder="1" applyAlignment="1">
      <alignment horizontal="right"/>
      <protection/>
    </xf>
    <xf numFmtId="0" fontId="0" fillId="0" borderId="24" xfId="25" applyFont="1" applyFill="1" applyBorder="1" applyAlignment="1">
      <alignment horizontal="right"/>
      <protection/>
    </xf>
    <xf numFmtId="0" fontId="0" fillId="0" borderId="25" xfId="25" applyBorder="1">
      <alignment/>
      <protection/>
    </xf>
    <xf numFmtId="0" fontId="0" fillId="0" borderId="0" xfId="28">
      <alignment/>
      <protection/>
    </xf>
    <xf numFmtId="0" fontId="4" fillId="0" borderId="0" xfId="28" applyFont="1" applyBorder="1" applyAlignment="1">
      <alignment horizontal="left"/>
      <protection/>
    </xf>
    <xf numFmtId="0" fontId="7" fillId="0" borderId="29" xfId="28" applyFont="1" applyBorder="1">
      <alignment/>
      <protection/>
    </xf>
    <xf numFmtId="0" fontId="7" fillId="0" borderId="30" xfId="28" applyFont="1" applyBorder="1">
      <alignment/>
      <protection/>
    </xf>
    <xf numFmtId="0" fontId="10" fillId="2" borderId="31" xfId="28" applyFont="1" applyFill="1" applyBorder="1" applyAlignment="1">
      <alignment horizontal="center"/>
      <protection/>
    </xf>
    <xf numFmtId="0" fontId="11" fillId="2" borderId="32" xfId="28" applyFont="1" applyFill="1" applyBorder="1" applyAlignment="1">
      <alignment horizontal="center" vertical="top" wrapText="1"/>
      <protection/>
    </xf>
    <xf numFmtId="0" fontId="11" fillId="2" borderId="33" xfId="28" applyFont="1" applyFill="1" applyBorder="1" applyAlignment="1">
      <alignment horizontal="center" vertical="top" wrapText="1"/>
      <protection/>
    </xf>
    <xf numFmtId="0" fontId="11" fillId="2" borderId="3" xfId="28" applyFont="1" applyFill="1" applyBorder="1" applyAlignment="1">
      <alignment horizontal="center" vertical="top" wrapText="1"/>
      <protection/>
    </xf>
    <xf numFmtId="0" fontId="7" fillId="0" borderId="34" xfId="28" applyFont="1" applyBorder="1">
      <alignment/>
      <protection/>
    </xf>
    <xf numFmtId="3" fontId="10" fillId="0" borderId="35" xfId="28" applyNumberFormat="1" applyFont="1" applyBorder="1">
      <alignment/>
      <protection/>
    </xf>
    <xf numFmtId="3" fontId="10" fillId="0" borderId="36" xfId="28" applyNumberFormat="1" applyFont="1" applyBorder="1">
      <alignment/>
      <protection/>
    </xf>
    <xf numFmtId="0" fontId="11" fillId="0" borderId="37" xfId="28" applyFont="1" applyBorder="1">
      <alignment/>
      <protection/>
    </xf>
    <xf numFmtId="3" fontId="10" fillId="0" borderId="21" xfId="28" applyNumberFormat="1" applyFont="1" applyBorder="1">
      <alignment/>
      <protection/>
    </xf>
    <xf numFmtId="3" fontId="10" fillId="0" borderId="22" xfId="28" applyNumberFormat="1" applyFont="1" applyBorder="1">
      <alignment/>
      <protection/>
    </xf>
    <xf numFmtId="3" fontId="7" fillId="0" borderId="9" xfId="28" applyNumberFormat="1" applyFont="1" applyBorder="1">
      <alignment/>
      <protection/>
    </xf>
    <xf numFmtId="3" fontId="10" fillId="0" borderId="9" xfId="28" applyNumberFormat="1" applyFont="1" applyBorder="1">
      <alignment/>
      <protection/>
    </xf>
    <xf numFmtId="0" fontId="4" fillId="0" borderId="37" xfId="28" applyFont="1" applyBorder="1">
      <alignment/>
      <protection/>
    </xf>
    <xf numFmtId="3" fontId="7" fillId="0" borderId="21" xfId="28" applyNumberFormat="1" applyFont="1" applyBorder="1">
      <alignment/>
      <protection/>
    </xf>
    <xf numFmtId="3" fontId="7" fillId="0" borderId="22" xfId="28" applyNumberFormat="1" applyFont="1" applyBorder="1">
      <alignment/>
      <protection/>
    </xf>
    <xf numFmtId="3" fontId="7" fillId="0" borderId="22" xfId="0" applyNumberFormat="1" applyFont="1" applyBorder="1" applyAlignment="1">
      <alignment/>
    </xf>
    <xf numFmtId="0" fontId="6" fillId="0" borderId="0" xfId="28" applyFont="1">
      <alignment/>
      <protection/>
    </xf>
    <xf numFmtId="0" fontId="11" fillId="0" borderId="38" xfId="28" applyFont="1" applyBorder="1">
      <alignment/>
      <protection/>
    </xf>
    <xf numFmtId="3" fontId="10" fillId="0" borderId="23" xfId="28" applyNumberFormat="1" applyFont="1" applyBorder="1">
      <alignment/>
      <protection/>
    </xf>
    <xf numFmtId="3" fontId="10" fillId="0" borderId="24" xfId="28" applyNumberFormat="1" applyFont="1" applyBorder="1">
      <alignment/>
      <protection/>
    </xf>
    <xf numFmtId="0" fontId="11" fillId="0" borderId="39" xfId="28" applyFont="1" applyBorder="1">
      <alignment/>
      <protection/>
    </xf>
    <xf numFmtId="3" fontId="10" fillId="0" borderId="20" xfId="28" applyNumberFormat="1" applyFont="1" applyBorder="1">
      <alignment/>
      <protection/>
    </xf>
    <xf numFmtId="3" fontId="10" fillId="0" borderId="40" xfId="28" applyNumberFormat="1" applyFont="1" applyBorder="1">
      <alignment/>
      <protection/>
    </xf>
    <xf numFmtId="3" fontId="10" fillId="0" borderId="7" xfId="28" applyNumberFormat="1" applyFont="1" applyBorder="1">
      <alignment/>
      <protection/>
    </xf>
    <xf numFmtId="0" fontId="7" fillId="0" borderId="41" xfId="28" applyFont="1" applyBorder="1">
      <alignment/>
      <protection/>
    </xf>
    <xf numFmtId="0" fontId="7" fillId="0" borderId="0" xfId="28" applyFont="1">
      <alignment/>
      <protection/>
    </xf>
    <xf numFmtId="3" fontId="7" fillId="0" borderId="0" xfId="28" applyNumberFormat="1" applyFont="1">
      <alignment/>
      <protection/>
    </xf>
    <xf numFmtId="0" fontId="14" fillId="0" borderId="0" xfId="24" applyFont="1" applyAlignment="1">
      <alignment horizontal="center" wrapText="1"/>
      <protection/>
    </xf>
    <xf numFmtId="0" fontId="7" fillId="0" borderId="1" xfId="28" applyFont="1" applyBorder="1">
      <alignment/>
      <protection/>
    </xf>
    <xf numFmtId="0" fontId="4" fillId="0" borderId="42" xfId="28" applyFont="1" applyBorder="1" applyAlignment="1">
      <alignment horizontal="center"/>
      <protection/>
    </xf>
    <xf numFmtId="0" fontId="4" fillId="0" borderId="43" xfId="28" applyFont="1" applyBorder="1" applyAlignment="1">
      <alignment horizontal="center"/>
      <protection/>
    </xf>
    <xf numFmtId="0" fontId="4" fillId="0" borderId="44" xfId="28" applyFont="1" applyBorder="1" applyAlignment="1">
      <alignment horizontal="center"/>
      <protection/>
    </xf>
    <xf numFmtId="0" fontId="7" fillId="0" borderId="45" xfId="28" applyFont="1" applyBorder="1">
      <alignment/>
      <protection/>
    </xf>
    <xf numFmtId="0" fontId="7" fillId="0" borderId="5" xfId="28" applyFont="1" applyBorder="1">
      <alignment/>
      <protection/>
    </xf>
    <xf numFmtId="164" fontId="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23" xfId="0" applyNumberFormat="1" applyFont="1" applyBorder="1" applyAlignment="1">
      <alignment/>
    </xf>
    <xf numFmtId="3" fontId="7" fillId="0" borderId="23" xfId="28" applyNumberFormat="1" applyFont="1" applyBorder="1">
      <alignment/>
      <protection/>
    </xf>
    <xf numFmtId="3" fontId="7" fillId="0" borderId="24" xfId="28" applyNumberFormat="1" applyFont="1" applyBorder="1">
      <alignment/>
      <protection/>
    </xf>
    <xf numFmtId="3" fontId="7" fillId="0" borderId="7" xfId="28" applyNumberFormat="1" applyFont="1" applyBorder="1">
      <alignment/>
      <protection/>
    </xf>
    <xf numFmtId="0" fontId="4" fillId="0" borderId="38" xfId="28" applyFont="1" applyBorder="1">
      <alignment/>
      <protection/>
    </xf>
    <xf numFmtId="0" fontId="11" fillId="0" borderId="37" xfId="28" applyFont="1" applyBorder="1" applyAlignment="1">
      <alignment vertical="center"/>
      <protection/>
    </xf>
    <xf numFmtId="3" fontId="10" fillId="0" borderId="12" xfId="28" applyNumberFormat="1" applyFont="1" applyBorder="1">
      <alignment/>
      <protection/>
    </xf>
    <xf numFmtId="0" fontId="7" fillId="0" borderId="10" xfId="28" applyFont="1" applyBorder="1">
      <alignment/>
      <protection/>
    </xf>
    <xf numFmtId="0" fontId="7" fillId="0" borderId="42" xfId="28" applyFont="1" applyBorder="1" applyAlignment="1">
      <alignment horizontal="center"/>
      <protection/>
    </xf>
    <xf numFmtId="0" fontId="7" fillId="0" borderId="43" xfId="28" applyFont="1" applyBorder="1" applyAlignment="1">
      <alignment horizontal="center"/>
      <protection/>
    </xf>
    <xf numFmtId="0" fontId="7" fillId="0" borderId="46" xfId="28" applyFont="1" applyBorder="1" applyAlignment="1">
      <alignment horizontal="center"/>
      <protection/>
    </xf>
    <xf numFmtId="0" fontId="7" fillId="0" borderId="44" xfId="28" applyFont="1" applyBorder="1" applyAlignment="1">
      <alignment horizontal="center"/>
      <protection/>
    </xf>
    <xf numFmtId="0" fontId="7" fillId="0" borderId="47" xfId="28" applyFont="1" applyBorder="1">
      <alignment/>
      <protection/>
    </xf>
    <xf numFmtId="0" fontId="6" fillId="2" borderId="31" xfId="28" applyFont="1" applyFill="1" applyBorder="1" applyAlignment="1">
      <alignment horizontal="center"/>
      <protection/>
    </xf>
    <xf numFmtId="3" fontId="7" fillId="0" borderId="20" xfId="28" applyNumberFormat="1" applyFont="1" applyBorder="1">
      <alignment/>
      <protection/>
    </xf>
    <xf numFmtId="3" fontId="7" fillId="0" borderId="40" xfId="28" applyNumberFormat="1" applyFont="1" applyBorder="1">
      <alignment/>
      <protection/>
    </xf>
    <xf numFmtId="3" fontId="7" fillId="0" borderId="21" xfId="0" applyNumberFormat="1" applyFont="1" applyBorder="1" applyAlignment="1">
      <alignment/>
    </xf>
    <xf numFmtId="3" fontId="7" fillId="0" borderId="48" xfId="28" applyNumberFormat="1" applyFont="1" applyBorder="1">
      <alignment/>
      <protection/>
    </xf>
    <xf numFmtId="3" fontId="10" fillId="0" borderId="32" xfId="28" applyNumberFormat="1" applyFont="1" applyBorder="1" applyAlignment="1">
      <alignment vertical="center"/>
      <protection/>
    </xf>
    <xf numFmtId="3" fontId="10" fillId="0" borderId="33" xfId="28" applyNumberFormat="1" applyFont="1" applyBorder="1" applyAlignment="1">
      <alignment vertical="center"/>
      <protection/>
    </xf>
    <xf numFmtId="0" fontId="7" fillId="0" borderId="21" xfId="28" applyFont="1" applyBorder="1">
      <alignment/>
      <protection/>
    </xf>
    <xf numFmtId="0" fontId="7" fillId="0" borderId="22" xfId="28" applyFont="1" applyBorder="1">
      <alignment/>
      <protection/>
    </xf>
    <xf numFmtId="3" fontId="10" fillId="2" borderId="32" xfId="28" applyNumberFormat="1" applyFont="1" applyFill="1" applyBorder="1" applyAlignment="1">
      <alignment vertical="center"/>
      <protection/>
    </xf>
    <xf numFmtId="3" fontId="10" fillId="2" borderId="33" xfId="28" applyNumberFormat="1" applyFont="1" applyFill="1" applyBorder="1" applyAlignment="1">
      <alignment vertical="center"/>
      <protection/>
    </xf>
    <xf numFmtId="164" fontId="11" fillId="0" borderId="49" xfId="0" applyNumberFormat="1" applyFont="1" applyFill="1" applyBorder="1" applyAlignment="1">
      <alignment horizontal="left" vertical="center" wrapText="1" indent="1"/>
    </xf>
    <xf numFmtId="3" fontId="10" fillId="0" borderId="19" xfId="28" applyNumberFormat="1" applyFont="1" applyBorder="1" applyAlignment="1">
      <alignment vertical="center"/>
      <protection/>
    </xf>
    <xf numFmtId="3" fontId="10" fillId="0" borderId="50" xfId="28" applyNumberFormat="1" applyFont="1" applyBorder="1" applyAlignment="1">
      <alignment vertical="center"/>
      <protection/>
    </xf>
    <xf numFmtId="3" fontId="10" fillId="0" borderId="51" xfId="28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52" xfId="28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11" fillId="2" borderId="2" xfId="28" applyFont="1" applyFill="1" applyBorder="1" applyAlignment="1">
      <alignment horizontal="center"/>
      <protection/>
    </xf>
    <xf numFmtId="0" fontId="0" fillId="0" borderId="5" xfId="0" applyFont="1" applyBorder="1" applyAlignment="1">
      <alignment/>
    </xf>
    <xf numFmtId="164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35" xfId="28" applyNumberFormat="1" applyFont="1" applyBorder="1">
      <alignment/>
      <protection/>
    </xf>
    <xf numFmtId="3" fontId="7" fillId="0" borderId="36" xfId="28" applyNumberFormat="1" applyFont="1" applyBorder="1">
      <alignment/>
      <protection/>
    </xf>
    <xf numFmtId="164" fontId="4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7" xfId="28" applyFont="1" applyBorder="1" applyAlignment="1">
      <alignment horizontal="left"/>
      <protection/>
    </xf>
    <xf numFmtId="164" fontId="4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54" xfId="28" applyNumberFormat="1" applyFont="1" applyBorder="1">
      <alignment/>
      <protection/>
    </xf>
    <xf numFmtId="3" fontId="7" fillId="0" borderId="55" xfId="28" applyNumberFormat="1" applyFont="1" applyBorder="1">
      <alignment/>
      <protection/>
    </xf>
    <xf numFmtId="164" fontId="4" fillId="0" borderId="5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/>
    </xf>
    <xf numFmtId="3" fontId="10" fillId="0" borderId="3" xfId="28" applyNumberFormat="1" applyFont="1" applyBorder="1" applyAlignment="1">
      <alignment vertical="center"/>
      <protection/>
    </xf>
    <xf numFmtId="165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6" fillId="0" borderId="57" xfId="30" applyFont="1" applyBorder="1" applyAlignment="1">
      <alignment/>
      <protection/>
    </xf>
    <xf numFmtId="3" fontId="17" fillId="3" borderId="21" xfId="0" applyNumberFormat="1" applyFont="1" applyFill="1" applyBorder="1" applyAlignment="1">
      <alignment/>
    </xf>
    <xf numFmtId="166" fontId="17" fillId="3" borderId="21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/>
    </xf>
    <xf numFmtId="166" fontId="17" fillId="0" borderId="21" xfId="0" applyNumberFormat="1" applyFont="1" applyFill="1" applyBorder="1" applyAlignment="1">
      <alignment horizontal="right"/>
    </xf>
    <xf numFmtId="3" fontId="21" fillId="2" borderId="21" xfId="0" applyNumberFormat="1" applyFont="1" applyFill="1" applyBorder="1" applyAlignment="1">
      <alignment/>
    </xf>
    <xf numFmtId="166" fontId="21" fillId="2" borderId="21" xfId="0" applyNumberFormat="1" applyFont="1" applyFill="1" applyBorder="1" applyAlignment="1">
      <alignment horizontal="right"/>
    </xf>
    <xf numFmtId="166" fontId="21" fillId="2" borderId="2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17" fillId="0" borderId="21" xfId="0" applyNumberFormat="1" applyFont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17" fillId="0" borderId="23" xfId="0" applyNumberFormat="1" applyFont="1" applyBorder="1" applyAlignment="1">
      <alignment/>
    </xf>
    <xf numFmtId="3" fontId="17" fillId="0" borderId="23" xfId="0" applyNumberFormat="1" applyFont="1" applyFill="1" applyBorder="1" applyAlignment="1">
      <alignment/>
    </xf>
    <xf numFmtId="0" fontId="1" fillId="0" borderId="0" xfId="19">
      <alignment/>
      <protection/>
    </xf>
    <xf numFmtId="0" fontId="25" fillId="0" borderId="31" xfId="20" applyFont="1" applyBorder="1" applyAlignment="1">
      <alignment horizontal="center" vertical="center"/>
      <protection/>
    </xf>
    <xf numFmtId="0" fontId="25" fillId="0" borderId="32" xfId="20" applyFont="1" applyBorder="1" applyAlignment="1">
      <alignment horizontal="center" vertical="center" wrapText="1"/>
      <protection/>
    </xf>
    <xf numFmtId="0" fontId="1" fillId="0" borderId="39" xfId="19" applyFont="1" applyBorder="1" applyAlignment="1">
      <alignment horizontal="center" vertical="center"/>
      <protection/>
    </xf>
    <xf numFmtId="0" fontId="1" fillId="0" borderId="37" xfId="19" applyFont="1" applyBorder="1">
      <alignment/>
      <protection/>
    </xf>
    <xf numFmtId="0" fontId="1" fillId="0" borderId="38" xfId="19" applyFont="1" applyBorder="1">
      <alignment/>
      <protection/>
    </xf>
    <xf numFmtId="0" fontId="25" fillId="0" borderId="31" xfId="19" applyFont="1" applyBorder="1">
      <alignment/>
      <protection/>
    </xf>
    <xf numFmtId="3" fontId="25" fillId="0" borderId="32" xfId="19" applyNumberFormat="1" applyFont="1" applyBorder="1">
      <alignment/>
      <protection/>
    </xf>
    <xf numFmtId="0" fontId="25" fillId="0" borderId="31" xfId="19" applyFont="1" applyBorder="1" applyAlignment="1">
      <alignment horizontal="center" vertical="center"/>
      <protection/>
    </xf>
    <xf numFmtId="0" fontId="25" fillId="0" borderId="32" xfId="19" applyFont="1" applyBorder="1" applyAlignment="1">
      <alignment horizontal="center" vertical="center" wrapText="1"/>
      <protection/>
    </xf>
    <xf numFmtId="3" fontId="25" fillId="0" borderId="31" xfId="19" applyNumberFormat="1" applyFont="1" applyBorder="1">
      <alignment/>
      <protection/>
    </xf>
    <xf numFmtId="0" fontId="0" fillId="0" borderId="0" xfId="26">
      <alignment/>
      <protection/>
    </xf>
    <xf numFmtId="0" fontId="0" fillId="0" borderId="1" xfId="26" applyBorder="1">
      <alignment/>
      <protection/>
    </xf>
    <xf numFmtId="0" fontId="0" fillId="0" borderId="5" xfId="26" applyFont="1" applyBorder="1">
      <alignment/>
      <protection/>
    </xf>
    <xf numFmtId="0" fontId="0" fillId="0" borderId="0" xfId="26" applyFont="1">
      <alignment/>
      <protection/>
    </xf>
    <xf numFmtId="0" fontId="0" fillId="0" borderId="8" xfId="26" applyFont="1" applyBorder="1">
      <alignment/>
      <protection/>
    </xf>
    <xf numFmtId="0" fontId="0" fillId="0" borderId="11" xfId="26" applyFont="1" applyBorder="1">
      <alignment/>
      <protection/>
    </xf>
    <xf numFmtId="3" fontId="0" fillId="0" borderId="0" xfId="26" applyNumberFormat="1">
      <alignment/>
      <protection/>
    </xf>
    <xf numFmtId="0" fontId="0" fillId="0" borderId="52" xfId="26" applyFont="1" applyBorder="1" applyAlignment="1">
      <alignment horizontal="center"/>
      <protection/>
    </xf>
    <xf numFmtId="0" fontId="9" fillId="0" borderId="0" xfId="26" applyFont="1" applyAlignment="1">
      <alignment horizontal="center"/>
      <protection/>
    </xf>
    <xf numFmtId="0" fontId="0" fillId="0" borderId="43" xfId="26" applyFont="1" applyBorder="1" applyAlignment="1">
      <alignment horizontal="center"/>
      <protection/>
    </xf>
    <xf numFmtId="0" fontId="0" fillId="0" borderId="30" xfId="26" applyBorder="1">
      <alignment/>
      <protection/>
    </xf>
    <xf numFmtId="3" fontId="0" fillId="0" borderId="21" xfId="26" applyNumberFormat="1" applyBorder="1">
      <alignment/>
      <protection/>
    </xf>
    <xf numFmtId="3" fontId="0" fillId="0" borderId="21" xfId="15" applyNumberFormat="1" applyFont="1" applyFill="1" applyBorder="1" applyAlignment="1" applyProtection="1">
      <alignment/>
      <protection/>
    </xf>
    <xf numFmtId="0" fontId="0" fillId="0" borderId="0" xfId="26" applyFill="1" applyBorder="1">
      <alignment/>
      <protection/>
    </xf>
    <xf numFmtId="3" fontId="0" fillId="0" borderId="0" xfId="26" applyNumberFormat="1" applyFont="1" applyBorder="1">
      <alignment/>
      <protection/>
    </xf>
    <xf numFmtId="3" fontId="0" fillId="0" borderId="0" xfId="26" applyNumberFormat="1" applyBorder="1">
      <alignment/>
      <protection/>
    </xf>
    <xf numFmtId="0" fontId="0" fillId="0" borderId="0" xfId="26" applyBorder="1">
      <alignment/>
      <protection/>
    </xf>
    <xf numFmtId="0" fontId="0" fillId="0" borderId="21" xfId="26" applyBorder="1">
      <alignment/>
      <protection/>
    </xf>
    <xf numFmtId="0" fontId="0" fillId="0" borderId="34" xfId="0" applyFont="1" applyBorder="1" applyAlignment="1">
      <alignment/>
    </xf>
    <xf numFmtId="0" fontId="0" fillId="0" borderId="40" xfId="25" applyFont="1" applyFill="1" applyBorder="1" applyAlignment="1">
      <alignment horizontal="right"/>
      <protection/>
    </xf>
    <xf numFmtId="0" fontId="0" fillId="0" borderId="24" xfId="25" applyFont="1" applyBorder="1">
      <alignment/>
      <protection/>
    </xf>
    <xf numFmtId="0" fontId="0" fillId="0" borderId="43" xfId="25" applyFont="1" applyBorder="1" applyAlignment="1">
      <alignment horizontal="center"/>
      <protection/>
    </xf>
    <xf numFmtId="0" fontId="0" fillId="0" borderId="44" xfId="25" applyFont="1" applyBorder="1" applyAlignment="1">
      <alignment horizontal="center"/>
      <protection/>
    </xf>
    <xf numFmtId="0" fontId="0" fillId="0" borderId="46" xfId="25" applyFont="1" applyBorder="1" applyAlignment="1">
      <alignment horizontal="center"/>
      <protection/>
    </xf>
    <xf numFmtId="0" fontId="0" fillId="2" borderId="58" xfId="25" applyFont="1" applyFill="1" applyBorder="1" applyAlignment="1">
      <alignment horizontal="center" vertical="center" wrapText="1"/>
      <protection/>
    </xf>
    <xf numFmtId="0" fontId="7" fillId="2" borderId="59" xfId="25" applyFont="1" applyFill="1" applyBorder="1" applyAlignment="1">
      <alignment horizontal="center" vertical="center" wrapText="1"/>
      <protection/>
    </xf>
    <xf numFmtId="0" fontId="7" fillId="2" borderId="60" xfId="25" applyFont="1" applyFill="1" applyBorder="1" applyAlignment="1">
      <alignment horizontal="center" vertical="center" wrapText="1"/>
      <protection/>
    </xf>
    <xf numFmtId="0" fontId="7" fillId="0" borderId="61" xfId="25" applyFont="1" applyFill="1" applyBorder="1" applyAlignment="1">
      <alignment horizontal="left"/>
      <protection/>
    </xf>
    <xf numFmtId="0" fontId="7" fillId="0" borderId="62" xfId="25" applyFont="1" applyBorder="1">
      <alignment/>
      <protection/>
    </xf>
    <xf numFmtId="0" fontId="1" fillId="0" borderId="62" xfId="25" applyFont="1" applyBorder="1">
      <alignment/>
      <protection/>
    </xf>
    <xf numFmtId="0" fontId="7" fillId="0" borderId="63" xfId="25" applyFont="1" applyBorder="1">
      <alignment/>
      <protection/>
    </xf>
    <xf numFmtId="0" fontId="8" fillId="0" borderId="64" xfId="25" applyFont="1" applyBorder="1">
      <alignment/>
      <protection/>
    </xf>
    <xf numFmtId="0" fontId="8" fillId="0" borderId="65" xfId="25" applyFont="1" applyBorder="1">
      <alignment/>
      <protection/>
    </xf>
    <xf numFmtId="0" fontId="8" fillId="0" borderId="66" xfId="25" applyFont="1" applyBorder="1">
      <alignment/>
      <protection/>
    </xf>
    <xf numFmtId="1" fontId="0" fillId="0" borderId="9" xfId="26" applyNumberFormat="1" applyBorder="1">
      <alignment/>
      <protection/>
    </xf>
    <xf numFmtId="3" fontId="0" fillId="0" borderId="23" xfId="26" applyNumberFormat="1" applyBorder="1">
      <alignment/>
      <protection/>
    </xf>
    <xf numFmtId="1" fontId="0" fillId="0" borderId="12" xfId="26" applyNumberFormat="1" applyBorder="1">
      <alignment/>
      <protection/>
    </xf>
    <xf numFmtId="1" fontId="0" fillId="0" borderId="67" xfId="26" applyNumberFormat="1" applyBorder="1">
      <alignment/>
      <protection/>
    </xf>
    <xf numFmtId="0" fontId="0" fillId="0" borderId="44" xfId="26" applyFont="1" applyBorder="1" applyAlignment="1">
      <alignment horizontal="center"/>
      <protection/>
    </xf>
    <xf numFmtId="3" fontId="0" fillId="0" borderId="22" xfId="26" applyNumberFormat="1" applyBorder="1">
      <alignment/>
      <protection/>
    </xf>
    <xf numFmtId="3" fontId="0" fillId="0" borderId="22" xfId="15" applyNumberFormat="1" applyFont="1" applyFill="1" applyBorder="1" applyAlignment="1" applyProtection="1">
      <alignment/>
      <protection/>
    </xf>
    <xf numFmtId="0" fontId="0" fillId="0" borderId="41" xfId="26" applyFont="1" applyBorder="1">
      <alignment/>
      <protection/>
    </xf>
    <xf numFmtId="3" fontId="0" fillId="0" borderId="24" xfId="26" applyNumberFormat="1" applyBorder="1">
      <alignment/>
      <protection/>
    </xf>
    <xf numFmtId="1" fontId="0" fillId="0" borderId="48" xfId="26" applyNumberFormat="1" applyBorder="1">
      <alignment/>
      <protection/>
    </xf>
    <xf numFmtId="3" fontId="0" fillId="0" borderId="23" xfId="15" applyNumberFormat="1" applyFont="1" applyFill="1" applyBorder="1" applyAlignment="1" applyProtection="1">
      <alignment/>
      <protection/>
    </xf>
    <xf numFmtId="3" fontId="0" fillId="0" borderId="24" xfId="15" applyNumberFormat="1" applyFont="1" applyFill="1" applyBorder="1" applyAlignment="1" applyProtection="1">
      <alignment/>
      <protection/>
    </xf>
    <xf numFmtId="1" fontId="0" fillId="0" borderId="7" xfId="26" applyNumberFormat="1" applyBorder="1">
      <alignment/>
      <protection/>
    </xf>
    <xf numFmtId="0" fontId="11" fillId="0" borderId="68" xfId="26" applyFont="1" applyBorder="1" applyAlignment="1">
      <alignment horizontal="center" vertical="center" wrapText="1"/>
      <protection/>
    </xf>
    <xf numFmtId="3" fontId="11" fillId="0" borderId="69" xfId="26" applyNumberFormat="1" applyFont="1" applyBorder="1" applyAlignment="1">
      <alignment horizontal="center" wrapText="1"/>
      <protection/>
    </xf>
    <xf numFmtId="1" fontId="11" fillId="0" borderId="70" xfId="26" applyNumberFormat="1" applyFont="1" applyBorder="1" applyAlignment="1">
      <alignment horizontal="center"/>
      <protection/>
    </xf>
    <xf numFmtId="0" fontId="0" fillId="0" borderId="29" xfId="26" applyBorder="1">
      <alignment/>
      <protection/>
    </xf>
    <xf numFmtId="0" fontId="0" fillId="0" borderId="68" xfId="26" applyFont="1" applyBorder="1" applyAlignment="1">
      <alignment horizontal="center"/>
      <protection/>
    </xf>
    <xf numFmtId="0" fontId="0" fillId="0" borderId="71" xfId="26" applyFont="1" applyBorder="1" applyAlignment="1">
      <alignment horizontal="center"/>
      <protection/>
    </xf>
    <xf numFmtId="0" fontId="0" fillId="0" borderId="72" xfId="26" applyFont="1" applyBorder="1" applyAlignment="1">
      <alignment horizontal="center"/>
      <protection/>
    </xf>
    <xf numFmtId="3" fontId="0" fillId="0" borderId="69" xfId="26" applyNumberFormat="1" applyFont="1" applyBorder="1" applyAlignment="1">
      <alignment horizontal="center"/>
      <protection/>
    </xf>
    <xf numFmtId="1" fontId="0" fillId="0" borderId="70" xfId="26" applyNumberFormat="1" applyFont="1" applyBorder="1" applyAlignment="1">
      <alignment horizontal="center"/>
      <protection/>
    </xf>
    <xf numFmtId="3" fontId="0" fillId="0" borderId="73" xfId="26" applyNumberFormat="1" applyFont="1" applyBorder="1" applyAlignment="1">
      <alignment horizontal="center"/>
      <protection/>
    </xf>
    <xf numFmtId="1" fontId="0" fillId="0" borderId="46" xfId="26" applyNumberFormat="1" applyFont="1" applyBorder="1" applyAlignment="1">
      <alignment horizontal="center"/>
      <protection/>
    </xf>
    <xf numFmtId="0" fontId="11" fillId="0" borderId="71" xfId="26" applyFont="1" applyBorder="1" applyAlignment="1">
      <alignment horizontal="center" vertical="center"/>
      <protection/>
    </xf>
    <xf numFmtId="0" fontId="11" fillId="0" borderId="72" xfId="26" applyFont="1" applyBorder="1" applyAlignment="1">
      <alignment horizontal="center" vertical="center" wrapText="1"/>
      <protection/>
    </xf>
    <xf numFmtId="1" fontId="6" fillId="4" borderId="70" xfId="26" applyNumberFormat="1" applyFont="1" applyFill="1" applyBorder="1">
      <alignment/>
      <protection/>
    </xf>
    <xf numFmtId="0" fontId="26" fillId="0" borderId="0" xfId="0" applyFont="1" applyAlignment="1">
      <alignment/>
    </xf>
    <xf numFmtId="0" fontId="0" fillId="0" borderId="0" xfId="28">
      <alignment/>
      <protection/>
    </xf>
    <xf numFmtId="0" fontId="10" fillId="2" borderId="58" xfId="28" applyFont="1" applyFill="1" applyBorder="1" applyAlignment="1">
      <alignment horizontal="center"/>
      <protection/>
    </xf>
    <xf numFmtId="0" fontId="11" fillId="2" borderId="59" xfId="28" applyFont="1" applyFill="1" applyBorder="1" applyAlignment="1">
      <alignment horizontal="center" vertical="top" wrapText="1"/>
      <protection/>
    </xf>
    <xf numFmtId="0" fontId="11" fillId="2" borderId="60" xfId="28" applyFont="1" applyFill="1" applyBorder="1" applyAlignment="1">
      <alignment horizontal="center" vertical="top" wrapText="1"/>
      <protection/>
    </xf>
    <xf numFmtId="0" fontId="11" fillId="0" borderId="74" xfId="28" applyFont="1" applyBorder="1">
      <alignment/>
      <protection/>
    </xf>
    <xf numFmtId="3" fontId="10" fillId="0" borderId="75" xfId="28" applyNumberFormat="1" applyFont="1" applyBorder="1">
      <alignment/>
      <protection/>
    </xf>
    <xf numFmtId="0" fontId="11" fillId="0" borderId="62" xfId="28" applyFont="1" applyBorder="1">
      <alignment/>
      <protection/>
    </xf>
    <xf numFmtId="3" fontId="10" fillId="0" borderId="76" xfId="28" applyNumberFormat="1" applyFont="1" applyBorder="1">
      <alignment/>
      <protection/>
    </xf>
    <xf numFmtId="3" fontId="10" fillId="0" borderId="77" xfId="28" applyNumberFormat="1" applyFont="1" applyBorder="1">
      <alignment/>
      <protection/>
    </xf>
    <xf numFmtId="3" fontId="10" fillId="0" borderId="78" xfId="28" applyNumberFormat="1" applyFont="1" applyBorder="1">
      <alignment/>
      <protection/>
    </xf>
    <xf numFmtId="0" fontId="4" fillId="0" borderId="62" xfId="28" applyFont="1" applyBorder="1">
      <alignment/>
      <protection/>
    </xf>
    <xf numFmtId="3" fontId="7" fillId="0" borderId="79" xfId="28" applyNumberFormat="1" applyFont="1" applyBorder="1">
      <alignment/>
      <protection/>
    </xf>
    <xf numFmtId="3" fontId="10" fillId="0" borderId="79" xfId="28" applyNumberFormat="1" applyFont="1" applyBorder="1">
      <alignment/>
      <protection/>
    </xf>
    <xf numFmtId="0" fontId="0" fillId="0" borderId="0" xfId="28" applyFont="1">
      <alignment/>
      <protection/>
    </xf>
    <xf numFmtId="0" fontId="11" fillId="0" borderId="63" xfId="28" applyFont="1" applyBorder="1">
      <alignment/>
      <protection/>
    </xf>
    <xf numFmtId="3" fontId="7" fillId="0" borderId="80" xfId="28" applyNumberFormat="1" applyFont="1" applyBorder="1">
      <alignment/>
      <protection/>
    </xf>
    <xf numFmtId="0" fontId="12" fillId="0" borderId="68" xfId="28" applyFont="1" applyBorder="1" applyAlignment="1">
      <alignment/>
      <protection/>
    </xf>
    <xf numFmtId="3" fontId="13" fillId="0" borderId="71" xfId="28" applyNumberFormat="1" applyFont="1" applyBorder="1" applyAlignment="1">
      <alignment/>
      <protection/>
    </xf>
    <xf numFmtId="3" fontId="13" fillId="0" borderId="72" xfId="28" applyNumberFormat="1" applyFont="1" applyBorder="1" applyAlignment="1">
      <alignment/>
      <protection/>
    </xf>
    <xf numFmtId="3" fontId="10" fillId="0" borderId="70" xfId="28" applyNumberFormat="1" applyFont="1" applyBorder="1">
      <alignment/>
      <protection/>
    </xf>
    <xf numFmtId="3" fontId="10" fillId="0" borderId="81" xfId="28" applyNumberFormat="1" applyFont="1" applyBorder="1">
      <alignment/>
      <protection/>
    </xf>
    <xf numFmtId="3" fontId="10" fillId="2" borderId="70" xfId="28" applyNumberFormat="1" applyFont="1" applyFill="1" applyBorder="1">
      <alignment/>
      <protection/>
    </xf>
    <xf numFmtId="0" fontId="11" fillId="2" borderId="68" xfId="28" applyFont="1" applyFill="1" applyBorder="1">
      <alignment/>
      <protection/>
    </xf>
    <xf numFmtId="3" fontId="10" fillId="2" borderId="71" xfId="28" applyNumberFormat="1" applyFont="1" applyFill="1" applyBorder="1">
      <alignment/>
      <protection/>
    </xf>
    <xf numFmtId="3" fontId="10" fillId="2" borderId="72" xfId="28" applyNumberFormat="1" applyFont="1" applyFill="1" applyBorder="1">
      <alignment/>
      <protection/>
    </xf>
    <xf numFmtId="164" fontId="11" fillId="0" borderId="39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1" fillId="2" borderId="31" xfId="0" applyNumberFormat="1" applyFont="1" applyFill="1" applyBorder="1" applyAlignment="1">
      <alignment horizontal="left" vertical="center" wrapText="1"/>
    </xf>
    <xf numFmtId="164" fontId="11" fillId="0" borderId="31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3" fontId="7" fillId="0" borderId="46" xfId="28" applyNumberFormat="1" applyFont="1" applyBorder="1">
      <alignment/>
      <protection/>
    </xf>
    <xf numFmtId="3" fontId="7" fillId="0" borderId="82" xfId="28" applyNumberFormat="1" applyFont="1" applyBorder="1">
      <alignment/>
      <protection/>
    </xf>
    <xf numFmtId="0" fontId="11" fillId="2" borderId="83" xfId="28" applyFont="1" applyFill="1" applyBorder="1" applyAlignment="1">
      <alignment horizontal="center" vertical="top" wrapText="1"/>
      <protection/>
    </xf>
    <xf numFmtId="0" fontId="11" fillId="2" borderId="84" xfId="28" applyFont="1" applyFill="1" applyBorder="1" applyAlignment="1">
      <alignment horizontal="center" vertical="top" wrapText="1"/>
      <protection/>
    </xf>
    <xf numFmtId="0" fontId="4" fillId="0" borderId="85" xfId="28" applyFont="1" applyBorder="1" applyAlignment="1">
      <alignment horizontal="center"/>
      <protection/>
    </xf>
    <xf numFmtId="164" fontId="11" fillId="0" borderId="68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71" xfId="28" applyNumberFormat="1" applyFont="1" applyBorder="1" applyAlignment="1">
      <alignment vertical="center"/>
      <protection/>
    </xf>
    <xf numFmtId="3" fontId="10" fillId="0" borderId="72" xfId="28" applyNumberFormat="1" applyFont="1" applyBorder="1" applyAlignment="1">
      <alignment vertical="center"/>
      <protection/>
    </xf>
    <xf numFmtId="3" fontId="10" fillId="0" borderId="70" xfId="28" applyNumberFormat="1" applyFont="1" applyBorder="1" applyAlignment="1">
      <alignment vertical="center"/>
      <protection/>
    </xf>
    <xf numFmtId="3" fontId="10" fillId="2" borderId="3" xfId="28" applyNumberFormat="1" applyFont="1" applyFill="1" applyBorder="1" applyAlignment="1">
      <alignment vertical="center"/>
      <protection/>
    </xf>
    <xf numFmtId="0" fontId="11" fillId="2" borderId="86" xfId="28" applyFont="1" applyFill="1" applyBorder="1" applyAlignment="1">
      <alignment horizontal="center"/>
      <protection/>
    </xf>
    <xf numFmtId="0" fontId="11" fillId="2" borderId="87" xfId="28" applyFont="1" applyFill="1" applyBorder="1" applyAlignment="1">
      <alignment horizontal="center" vertical="top" wrapText="1"/>
      <protection/>
    </xf>
    <xf numFmtId="0" fontId="11" fillId="2" borderId="88" xfId="28" applyFont="1" applyFill="1" applyBorder="1" applyAlignment="1">
      <alignment horizontal="center" vertical="top" wrapText="1"/>
      <protection/>
    </xf>
    <xf numFmtId="0" fontId="7" fillId="2" borderId="50" xfId="25" applyFont="1" applyFill="1" applyBorder="1" applyAlignment="1">
      <alignment horizontal="center" vertical="center" wrapText="1"/>
      <protection/>
    </xf>
    <xf numFmtId="3" fontId="0" fillId="0" borderId="40" xfId="25" applyNumberFormat="1" applyFont="1" applyBorder="1">
      <alignment/>
      <protection/>
    </xf>
    <xf numFmtId="0" fontId="0" fillId="0" borderId="22" xfId="25" applyFont="1" applyBorder="1">
      <alignment/>
      <protection/>
    </xf>
    <xf numFmtId="0" fontId="0" fillId="0" borderId="41" xfId="25" applyFont="1" applyBorder="1">
      <alignment/>
      <protection/>
    </xf>
    <xf numFmtId="3" fontId="8" fillId="0" borderId="71" xfId="25" applyNumberFormat="1" applyFont="1" applyBorder="1">
      <alignment/>
      <protection/>
    </xf>
    <xf numFmtId="3" fontId="8" fillId="0" borderId="72" xfId="25" applyNumberFormat="1" applyFont="1" applyBorder="1">
      <alignment/>
      <protection/>
    </xf>
    <xf numFmtId="0" fontId="4" fillId="2" borderId="57" xfId="25" applyFont="1" applyFill="1" applyBorder="1" applyAlignment="1">
      <alignment horizontal="center" vertical="center" wrapText="1"/>
      <protection/>
    </xf>
    <xf numFmtId="0" fontId="7" fillId="0" borderId="26" xfId="25" applyFont="1" applyBorder="1" applyAlignment="1">
      <alignment horizontal="center"/>
      <protection/>
    </xf>
    <xf numFmtId="0" fontId="7" fillId="0" borderId="27" xfId="25" applyFont="1" applyBorder="1" applyAlignment="1">
      <alignment horizontal="center"/>
      <protection/>
    </xf>
    <xf numFmtId="0" fontId="7" fillId="0" borderId="28" xfId="25" applyFont="1" applyBorder="1" applyAlignment="1">
      <alignment horizontal="center"/>
      <protection/>
    </xf>
    <xf numFmtId="0" fontId="7" fillId="0" borderId="89" xfId="25" applyFont="1" applyBorder="1">
      <alignment/>
      <protection/>
    </xf>
    <xf numFmtId="0" fontId="7" fillId="0" borderId="61" xfId="25" applyFont="1" applyBorder="1">
      <alignment/>
      <protection/>
    </xf>
    <xf numFmtId="0" fontId="7" fillId="0" borderId="62" xfId="25" applyFont="1" applyBorder="1" applyAlignment="1">
      <alignment wrapText="1"/>
      <protection/>
    </xf>
    <xf numFmtId="0" fontId="7" fillId="0" borderId="62" xfId="24" applyFont="1" applyBorder="1">
      <alignment/>
      <protection/>
    </xf>
    <xf numFmtId="0" fontId="8" fillId="0" borderId="68" xfId="25" applyFont="1" applyBorder="1">
      <alignment/>
      <protection/>
    </xf>
    <xf numFmtId="0" fontId="0" fillId="0" borderId="29" xfId="25" applyFont="1" applyBorder="1">
      <alignment/>
      <protection/>
    </xf>
    <xf numFmtId="0" fontId="0" fillId="2" borderId="90" xfId="25" applyFont="1" applyFill="1" applyBorder="1" applyAlignment="1">
      <alignment horizontal="center" vertical="center" wrapText="1"/>
      <protection/>
    </xf>
    <xf numFmtId="0" fontId="7" fillId="2" borderId="91" xfId="25" applyFont="1" applyFill="1" applyBorder="1" applyAlignment="1">
      <alignment horizontal="center" vertical="center" wrapText="1"/>
      <protection/>
    </xf>
    <xf numFmtId="0" fontId="0" fillId="0" borderId="86" xfId="25" applyFont="1" applyBorder="1" applyAlignment="1">
      <alignment horizontal="center"/>
      <protection/>
    </xf>
    <xf numFmtId="0" fontId="0" fillId="0" borderId="87" xfId="25" applyFont="1" applyBorder="1" applyAlignment="1">
      <alignment horizontal="center"/>
      <protection/>
    </xf>
    <xf numFmtId="0" fontId="24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62" xfId="0" applyFont="1" applyFill="1" applyBorder="1" applyAlignment="1">
      <alignment/>
    </xf>
    <xf numFmtId="0" fontId="19" fillId="0" borderId="62" xfId="0" applyFont="1" applyBorder="1" applyAlignment="1">
      <alignment/>
    </xf>
    <xf numFmtId="0" fontId="22" fillId="2" borderId="62" xfId="0" applyFont="1" applyFill="1" applyBorder="1" applyAlignment="1">
      <alignment/>
    </xf>
    <xf numFmtId="3" fontId="2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7" fillId="0" borderId="42" xfId="0" applyFont="1" applyBorder="1" applyAlignment="1">
      <alignment/>
    </xf>
    <xf numFmtId="0" fontId="26" fillId="0" borderId="0" xfId="0" applyFont="1" applyBorder="1" applyAlignment="1">
      <alignment/>
    </xf>
    <xf numFmtId="0" fontId="19" fillId="3" borderId="62" xfId="0" applyFont="1" applyFill="1" applyBorder="1" applyAlignment="1">
      <alignment/>
    </xf>
    <xf numFmtId="0" fontId="20" fillId="2" borderId="62" xfId="0" applyFont="1" applyFill="1" applyBorder="1" applyAlignment="1">
      <alignment/>
    </xf>
    <xf numFmtId="0" fontId="25" fillId="0" borderId="33" xfId="20" applyFont="1" applyBorder="1" applyAlignment="1">
      <alignment horizontal="center" vertical="center" wrapText="1"/>
      <protection/>
    </xf>
    <xf numFmtId="3" fontId="25" fillId="0" borderId="33" xfId="19" applyNumberFormat="1" applyFont="1" applyBorder="1">
      <alignment/>
      <protection/>
    </xf>
    <xf numFmtId="0" fontId="0" fillId="0" borderId="88" xfId="25" applyFont="1" applyBorder="1" applyAlignment="1">
      <alignment horizontal="center"/>
      <protection/>
    </xf>
    <xf numFmtId="0" fontId="0" fillId="5" borderId="79" xfId="25" applyFill="1" applyBorder="1">
      <alignment/>
      <protection/>
    </xf>
    <xf numFmtId="0" fontId="0" fillId="5" borderId="80" xfId="25" applyFill="1" applyBorder="1">
      <alignment/>
      <protection/>
    </xf>
    <xf numFmtId="3" fontId="8" fillId="5" borderId="88" xfId="25" applyNumberFormat="1" applyFont="1" applyFill="1" applyBorder="1">
      <alignment/>
      <protection/>
    </xf>
    <xf numFmtId="0" fontId="0" fillId="5" borderId="0" xfId="25" applyFill="1">
      <alignment/>
      <protection/>
    </xf>
    <xf numFmtId="0" fontId="0" fillId="5" borderId="88" xfId="25" applyFont="1" applyFill="1" applyBorder="1" applyAlignment="1">
      <alignment horizontal="center"/>
      <protection/>
    </xf>
    <xf numFmtId="0" fontId="7" fillId="2" borderId="88" xfId="25" applyFont="1" applyFill="1" applyBorder="1" applyAlignment="1">
      <alignment horizontal="center" vertical="center" wrapText="1"/>
      <protection/>
    </xf>
    <xf numFmtId="0" fontId="8" fillId="5" borderId="88" xfId="25" applyFont="1" applyFill="1" applyBorder="1">
      <alignment/>
      <protection/>
    </xf>
    <xf numFmtId="3" fontId="6" fillId="5" borderId="91" xfId="25" applyNumberFormat="1" applyFont="1" applyFill="1" applyBorder="1">
      <alignment/>
      <protection/>
    </xf>
    <xf numFmtId="3" fontId="6" fillId="5" borderId="79" xfId="25" applyNumberFormat="1" applyFont="1" applyFill="1" applyBorder="1">
      <alignment/>
      <protection/>
    </xf>
    <xf numFmtId="0" fontId="6" fillId="5" borderId="91" xfId="25" applyFont="1" applyFill="1" applyBorder="1" applyAlignment="1">
      <alignment horizontal="right"/>
      <protection/>
    </xf>
    <xf numFmtId="0" fontId="6" fillId="5" borderId="79" xfId="25" applyFont="1" applyFill="1" applyBorder="1" applyAlignment="1">
      <alignment horizontal="right"/>
      <protection/>
    </xf>
    <xf numFmtId="0" fontId="6" fillId="5" borderId="80" xfId="25" applyFont="1" applyFill="1" applyBorder="1">
      <alignment/>
      <protection/>
    </xf>
    <xf numFmtId="0" fontId="0" fillId="0" borderId="92" xfId="25" applyFont="1" applyBorder="1" applyAlignment="1">
      <alignment horizontal="center"/>
      <protection/>
    </xf>
    <xf numFmtId="0" fontId="7" fillId="2" borderId="93" xfId="25" applyFont="1" applyFill="1" applyBorder="1" applyAlignment="1">
      <alignment horizontal="center" vertical="center" wrapText="1"/>
      <protection/>
    </xf>
    <xf numFmtId="3" fontId="0" fillId="5" borderId="94" xfId="25" applyNumberFormat="1" applyFill="1" applyBorder="1">
      <alignment/>
      <protection/>
    </xf>
    <xf numFmtId="3" fontId="0" fillId="5" borderId="95" xfId="25" applyNumberFormat="1" applyFill="1" applyBorder="1">
      <alignment/>
      <protection/>
    </xf>
    <xf numFmtId="0" fontId="0" fillId="5" borderId="95" xfId="25" applyFill="1" applyBorder="1">
      <alignment/>
      <protection/>
    </xf>
    <xf numFmtId="0" fontId="0" fillId="5" borderId="96" xfId="25" applyFill="1" applyBorder="1">
      <alignment/>
      <protection/>
    </xf>
    <xf numFmtId="3" fontId="8" fillId="5" borderId="92" xfId="25" applyNumberFormat="1" applyFont="1" applyFill="1" applyBorder="1">
      <alignment/>
      <protection/>
    </xf>
    <xf numFmtId="0" fontId="0" fillId="5" borderId="92" xfId="25" applyFont="1" applyFill="1" applyBorder="1" applyAlignment="1">
      <alignment horizontal="center"/>
      <protection/>
    </xf>
    <xf numFmtId="0" fontId="7" fillId="2" borderId="92" xfId="25" applyFont="1" applyFill="1" applyBorder="1" applyAlignment="1">
      <alignment horizontal="center" vertical="center" wrapText="1"/>
      <protection/>
    </xf>
    <xf numFmtId="0" fontId="0" fillId="5" borderId="94" xfId="25" applyFont="1" applyFill="1" applyBorder="1" applyAlignment="1">
      <alignment horizontal="right"/>
      <protection/>
    </xf>
    <xf numFmtId="0" fontId="0" fillId="5" borderId="95" xfId="25" applyFont="1" applyFill="1" applyBorder="1" applyAlignment="1">
      <alignment horizontal="right"/>
      <protection/>
    </xf>
    <xf numFmtId="0" fontId="8" fillId="5" borderId="92" xfId="25" applyFont="1" applyFill="1" applyBorder="1">
      <alignment/>
      <protection/>
    </xf>
    <xf numFmtId="3" fontId="1" fillId="0" borderId="97" xfId="0" applyNumberFormat="1" applyFont="1" applyBorder="1" applyAlignment="1">
      <alignment/>
    </xf>
    <xf numFmtId="3" fontId="1" fillId="0" borderId="20" xfId="19" applyNumberFormat="1" applyFont="1" applyBorder="1" applyAlignment="1">
      <alignment horizontal="center" vertical="center" wrapText="1"/>
      <protection/>
    </xf>
    <xf numFmtId="3" fontId="1" fillId="0" borderId="20" xfId="22" applyNumberFormat="1" applyFont="1" applyBorder="1">
      <alignment/>
      <protection/>
    </xf>
    <xf numFmtId="3" fontId="1" fillId="0" borderId="21" xfId="19" applyNumberFormat="1" applyFont="1" applyBorder="1">
      <alignment/>
      <protection/>
    </xf>
    <xf numFmtId="3" fontId="1" fillId="0" borderId="21" xfId="22" applyNumberFormat="1" applyFont="1" applyBorder="1">
      <alignment/>
      <protection/>
    </xf>
    <xf numFmtId="3" fontId="1" fillId="0" borderId="98" xfId="0" applyNumberFormat="1" applyFont="1" applyBorder="1" applyAlignment="1">
      <alignment/>
    </xf>
    <xf numFmtId="3" fontId="1" fillId="0" borderId="23" xfId="19" applyNumberFormat="1" applyFont="1" applyBorder="1">
      <alignment/>
      <protection/>
    </xf>
    <xf numFmtId="3" fontId="1" fillId="0" borderId="23" xfId="22" applyNumberFormat="1" applyFont="1" applyBorder="1">
      <alignment/>
      <protection/>
    </xf>
    <xf numFmtId="3" fontId="1" fillId="0" borderId="95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0" fontId="12" fillId="6" borderId="68" xfId="27" applyFont="1" applyFill="1" applyBorder="1" applyAlignment="1" applyProtection="1">
      <alignment horizontal="left" wrapText="1"/>
      <protection/>
    </xf>
    <xf numFmtId="3" fontId="13" fillId="6" borderId="71" xfId="28" applyNumberFormat="1" applyFont="1" applyFill="1" applyBorder="1">
      <alignment/>
      <protection/>
    </xf>
    <xf numFmtId="3" fontId="13" fillId="6" borderId="72" xfId="28" applyNumberFormat="1" applyFont="1" applyFill="1" applyBorder="1">
      <alignment/>
      <protection/>
    </xf>
    <xf numFmtId="3" fontId="10" fillId="6" borderId="70" xfId="28" applyNumberFormat="1" applyFont="1" applyFill="1" applyBorder="1">
      <alignment/>
      <protection/>
    </xf>
    <xf numFmtId="3" fontId="7" fillId="0" borderId="40" xfId="29" applyNumberFormat="1" applyFont="1" applyBorder="1">
      <alignment/>
      <protection/>
    </xf>
    <xf numFmtId="3" fontId="7" fillId="0" borderId="22" xfId="29" applyNumberFormat="1" applyFont="1" applyBorder="1">
      <alignment/>
      <protection/>
    </xf>
    <xf numFmtId="3" fontId="7" fillId="0" borderId="24" xfId="29" applyNumberFormat="1" applyFont="1" applyBorder="1">
      <alignment/>
      <protection/>
    </xf>
    <xf numFmtId="3" fontId="10" fillId="0" borderId="33" xfId="29" applyNumberFormat="1" applyFont="1" applyBorder="1" applyAlignment="1">
      <alignment vertical="center"/>
      <protection/>
    </xf>
    <xf numFmtId="3" fontId="10" fillId="0" borderId="40" xfId="29" applyNumberFormat="1" applyFont="1" applyBorder="1">
      <alignment/>
      <protection/>
    </xf>
    <xf numFmtId="3" fontId="10" fillId="0" borderId="22" xfId="29" applyNumberFormat="1" applyFont="1" applyBorder="1">
      <alignment/>
      <protection/>
    </xf>
    <xf numFmtId="3" fontId="10" fillId="2" borderId="33" xfId="29" applyNumberFormat="1" applyFont="1" applyFill="1" applyBorder="1" applyAlignment="1">
      <alignment vertical="center"/>
      <protection/>
    </xf>
    <xf numFmtId="3" fontId="7" fillId="0" borderId="21" xfId="29" applyNumberFormat="1" applyFont="1" applyBorder="1">
      <alignment/>
      <protection/>
    </xf>
    <xf numFmtId="0" fontId="0" fillId="0" borderId="0" xfId="28" applyFont="1">
      <alignment/>
      <protection/>
    </xf>
    <xf numFmtId="3" fontId="7" fillId="0" borderId="20" xfId="29" applyNumberFormat="1" applyFont="1" applyBorder="1">
      <alignment/>
      <protection/>
    </xf>
    <xf numFmtId="3" fontId="7" fillId="0" borderId="54" xfId="29" applyNumberFormat="1" applyFont="1" applyBorder="1">
      <alignment/>
      <protection/>
    </xf>
    <xf numFmtId="3" fontId="10" fillId="0" borderId="21" xfId="29" applyNumberFormat="1" applyFont="1" applyBorder="1">
      <alignment/>
      <protection/>
    </xf>
    <xf numFmtId="3" fontId="7" fillId="0" borderId="23" xfId="29" applyNumberFormat="1" applyFont="1" applyBorder="1">
      <alignment/>
      <protection/>
    </xf>
    <xf numFmtId="3" fontId="17" fillId="3" borderId="21" xfId="0" applyNumberFormat="1" applyFont="1" applyFill="1" applyBorder="1" applyAlignment="1">
      <alignment/>
    </xf>
    <xf numFmtId="3" fontId="17" fillId="0" borderId="21" xfId="31" applyNumberFormat="1" applyFont="1" applyBorder="1">
      <alignment/>
      <protection/>
    </xf>
    <xf numFmtId="166" fontId="17" fillId="3" borderId="21" xfId="0" applyNumberFormat="1" applyFont="1" applyFill="1" applyBorder="1" applyAlignment="1">
      <alignment horizontal="right"/>
    </xf>
    <xf numFmtId="166" fontId="17" fillId="2" borderId="21" xfId="0" applyNumberFormat="1" applyFont="1" applyFill="1" applyBorder="1" applyAlignment="1">
      <alignment horizontal="right"/>
    </xf>
    <xf numFmtId="0" fontId="0" fillId="0" borderId="6" xfId="26" applyFont="1" applyBorder="1" applyAlignment="1">
      <alignment vertical="center"/>
      <protection/>
    </xf>
    <xf numFmtId="3" fontId="0" fillId="3" borderId="20" xfId="26" applyNumberFormat="1" applyFill="1" applyBorder="1">
      <alignment/>
      <protection/>
    </xf>
    <xf numFmtId="3" fontId="0" fillId="3" borderId="40" xfId="26" applyNumberFormat="1" applyFill="1" applyBorder="1">
      <alignment/>
      <protection/>
    </xf>
    <xf numFmtId="3" fontId="0" fillId="3" borderId="21" xfId="26" applyNumberFormat="1" applyFill="1" applyBorder="1">
      <alignment/>
      <protection/>
    </xf>
    <xf numFmtId="3" fontId="0" fillId="3" borderId="22" xfId="26" applyNumberFormat="1" applyFill="1" applyBorder="1">
      <alignment/>
      <protection/>
    </xf>
    <xf numFmtId="0" fontId="0" fillId="0" borderId="27" xfId="0" applyFont="1" applyBorder="1" applyAlignment="1">
      <alignment/>
    </xf>
    <xf numFmtId="3" fontId="0" fillId="0" borderId="21" xfId="26" applyNumberFormat="1" applyFill="1" applyBorder="1">
      <alignment/>
      <protection/>
    </xf>
    <xf numFmtId="0" fontId="0" fillId="0" borderId="28" xfId="0" applyFont="1" applyBorder="1" applyAlignment="1">
      <alignment/>
    </xf>
    <xf numFmtId="3" fontId="0" fillId="0" borderId="22" xfId="15" applyNumberFormat="1" applyFill="1" applyBorder="1" applyAlignment="1" applyProtection="1">
      <alignment/>
      <protection/>
    </xf>
    <xf numFmtId="3" fontId="0" fillId="0" borderId="21" xfId="15" applyNumberFormat="1" applyFill="1" applyBorder="1" applyAlignment="1" applyProtection="1">
      <alignment/>
      <protection/>
    </xf>
    <xf numFmtId="0" fontId="0" fillId="0" borderId="6" xfId="26" applyFont="1" applyBorder="1">
      <alignment/>
      <protection/>
    </xf>
    <xf numFmtId="3" fontId="0" fillId="0" borderId="20" xfId="26" applyNumberFormat="1" applyBorder="1">
      <alignment/>
      <protection/>
    </xf>
    <xf numFmtId="3" fontId="0" fillId="0" borderId="40" xfId="26" applyNumberFormat="1" applyBorder="1">
      <alignment/>
      <protection/>
    </xf>
    <xf numFmtId="3" fontId="6" fillId="3" borderId="54" xfId="26" applyNumberFormat="1" applyFont="1" applyFill="1" applyBorder="1" applyAlignment="1">
      <alignment horizontal="right" vertical="center"/>
      <protection/>
    </xf>
    <xf numFmtId="0" fontId="9" fillId="2" borderId="68" xfId="26" applyFont="1" applyFill="1" applyBorder="1" applyAlignment="1">
      <alignment vertical="center"/>
      <protection/>
    </xf>
    <xf numFmtId="3" fontId="6" fillId="2" borderId="71" xfId="26" applyNumberFormat="1" applyFont="1" applyFill="1" applyBorder="1">
      <alignment/>
      <protection/>
    </xf>
    <xf numFmtId="3" fontId="6" fillId="2" borderId="72" xfId="26" applyNumberFormat="1" applyFont="1" applyFill="1" applyBorder="1">
      <alignment/>
      <protection/>
    </xf>
    <xf numFmtId="0" fontId="9" fillId="2" borderId="68" xfId="26" applyFont="1" applyFill="1" applyBorder="1" applyAlignment="1">
      <alignment horizontal="left" vertical="center"/>
      <protection/>
    </xf>
    <xf numFmtId="3" fontId="6" fillId="2" borderId="71" xfId="26" applyNumberFormat="1" applyFont="1" applyFill="1" applyBorder="1" applyAlignment="1">
      <alignment horizontal="right" vertical="center"/>
      <protection/>
    </xf>
    <xf numFmtId="3" fontId="6" fillId="2" borderId="72" xfId="26" applyNumberFormat="1" applyFont="1" applyFill="1" applyBorder="1" applyAlignment="1">
      <alignment horizontal="right" vertical="center"/>
      <protection/>
    </xf>
    <xf numFmtId="3" fontId="1" fillId="0" borderId="94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0" fontId="25" fillId="0" borderId="46" xfId="19" applyFont="1" applyBorder="1" applyAlignment="1">
      <alignment horizontal="center" vertical="center" wrapText="1"/>
      <protection/>
    </xf>
    <xf numFmtId="0" fontId="25" fillId="0" borderId="100" xfId="20" applyFont="1" applyBorder="1" applyAlignment="1">
      <alignment horizontal="center" vertical="center" wrapText="1"/>
      <protection/>
    </xf>
    <xf numFmtId="0" fontId="12" fillId="0" borderId="68" xfId="27" applyFont="1" applyFill="1" applyBorder="1" applyAlignment="1" applyProtection="1">
      <alignment horizontal="left" wrapText="1"/>
      <protection/>
    </xf>
    <xf numFmtId="3" fontId="13" fillId="0" borderId="72" xfId="28" applyNumberFormat="1" applyFont="1" applyFill="1" applyBorder="1">
      <alignment/>
      <protection/>
    </xf>
    <xf numFmtId="3" fontId="13" fillId="0" borderId="71" xfId="28" applyNumberFormat="1" applyFont="1" applyFill="1" applyBorder="1">
      <alignment/>
      <protection/>
    </xf>
    <xf numFmtId="0" fontId="7" fillId="0" borderId="101" xfId="28" applyFont="1" applyBorder="1">
      <alignment/>
      <protection/>
    </xf>
    <xf numFmtId="3" fontId="11" fillId="2" borderId="68" xfId="28" applyNumberFormat="1" applyFont="1" applyFill="1" applyBorder="1">
      <alignment/>
      <protection/>
    </xf>
    <xf numFmtId="0" fontId="0" fillId="0" borderId="53" xfId="28" applyBorder="1">
      <alignment/>
      <protection/>
    </xf>
    <xf numFmtId="0" fontId="7" fillId="0" borderId="54" xfId="28" applyFont="1" applyBorder="1">
      <alignment/>
      <protection/>
    </xf>
    <xf numFmtId="164" fontId="11" fillId="0" borderId="68" xfId="0" applyNumberFormat="1" applyFont="1" applyFill="1" applyBorder="1" applyAlignment="1">
      <alignment horizontal="left" wrapText="1" indent="1"/>
    </xf>
    <xf numFmtId="3" fontId="10" fillId="0" borderId="71" xfId="28" applyNumberFormat="1" applyFont="1" applyBorder="1">
      <alignment/>
      <protection/>
    </xf>
    <xf numFmtId="3" fontId="10" fillId="0" borderId="72" xfId="28" applyNumberFormat="1" applyFont="1" applyBorder="1">
      <alignment/>
      <protection/>
    </xf>
    <xf numFmtId="0" fontId="11" fillId="0" borderId="68" xfId="28" applyFont="1" applyBorder="1" applyAlignment="1">
      <alignment horizontal="left" indent="1"/>
      <protection/>
    </xf>
    <xf numFmtId="3" fontId="10" fillId="0" borderId="102" xfId="28" applyNumberFormat="1" applyFont="1" applyBorder="1">
      <alignment/>
      <protection/>
    </xf>
    <xf numFmtId="3" fontId="7" fillId="0" borderId="95" xfId="28" applyNumberFormat="1" applyFont="1" applyBorder="1">
      <alignment/>
      <protection/>
    </xf>
    <xf numFmtId="3" fontId="7" fillId="0" borderId="103" xfId="28" applyNumberFormat="1" applyFont="1" applyBorder="1">
      <alignment/>
      <protection/>
    </xf>
    <xf numFmtId="3" fontId="7" fillId="5" borderId="104" xfId="28" applyNumberFormat="1" applyFont="1" applyFill="1" applyBorder="1">
      <alignment/>
      <protection/>
    </xf>
    <xf numFmtId="3" fontId="7" fillId="0" borderId="105" xfId="28" applyNumberFormat="1" applyFont="1" applyBorder="1">
      <alignment/>
      <protection/>
    </xf>
    <xf numFmtId="3" fontId="7" fillId="0" borderId="104" xfId="28" applyNumberFormat="1" applyFont="1" applyBorder="1">
      <alignment/>
      <protection/>
    </xf>
    <xf numFmtId="3" fontId="10" fillId="0" borderId="104" xfId="28" applyNumberFormat="1" applyFont="1" applyBorder="1">
      <alignment/>
      <protection/>
    </xf>
    <xf numFmtId="3" fontId="10" fillId="0" borderId="103" xfId="28" applyNumberFormat="1" applyFont="1" applyBorder="1">
      <alignment/>
      <protection/>
    </xf>
    <xf numFmtId="3" fontId="10" fillId="0" borderId="105" xfId="28" applyNumberFormat="1" applyFont="1" applyBorder="1">
      <alignment/>
      <protection/>
    </xf>
    <xf numFmtId="3" fontId="13" fillId="0" borderId="92" xfId="28" applyNumberFormat="1" applyFont="1" applyFill="1" applyBorder="1">
      <alignment/>
      <protection/>
    </xf>
    <xf numFmtId="3" fontId="10" fillId="2" borderId="92" xfId="28" applyNumberFormat="1" applyFont="1" applyFill="1" applyBorder="1">
      <alignment/>
      <protection/>
    </xf>
    <xf numFmtId="3" fontId="7" fillId="0" borderId="99" xfId="28" applyNumberFormat="1" applyFont="1" applyBorder="1">
      <alignment/>
      <protection/>
    </xf>
    <xf numFmtId="3" fontId="10" fillId="0" borderId="92" xfId="28" applyNumberFormat="1" applyFont="1" applyBorder="1">
      <alignment/>
      <protection/>
    </xf>
    <xf numFmtId="3" fontId="10" fillId="0" borderId="106" xfId="28" applyNumberFormat="1" applyFont="1" applyBorder="1">
      <alignment/>
      <protection/>
    </xf>
    <xf numFmtId="3" fontId="7" fillId="0" borderId="107" xfId="28" applyNumberFormat="1" applyFont="1" applyBorder="1">
      <alignment/>
      <protection/>
    </xf>
    <xf numFmtId="3" fontId="10" fillId="0" borderId="107" xfId="28" applyNumberFormat="1" applyFont="1" applyBorder="1">
      <alignment/>
      <protection/>
    </xf>
    <xf numFmtId="3" fontId="7" fillId="0" borderId="108" xfId="28" applyNumberFormat="1" applyFont="1" applyBorder="1">
      <alignment/>
      <protection/>
    </xf>
    <xf numFmtId="3" fontId="10" fillId="0" borderId="109" xfId="28" applyNumberFormat="1" applyFont="1" applyBorder="1">
      <alignment/>
      <protection/>
    </xf>
    <xf numFmtId="3" fontId="10" fillId="0" borderId="108" xfId="28" applyNumberFormat="1" applyFont="1" applyBorder="1">
      <alignment/>
      <protection/>
    </xf>
    <xf numFmtId="3" fontId="13" fillId="0" borderId="69" xfId="28" applyNumberFormat="1" applyFont="1" applyFill="1" applyBorder="1">
      <alignment/>
      <protection/>
    </xf>
    <xf numFmtId="3" fontId="10" fillId="2" borderId="69" xfId="28" applyNumberFormat="1" applyFont="1" applyFill="1" applyBorder="1">
      <alignment/>
      <protection/>
    </xf>
    <xf numFmtId="3" fontId="7" fillId="0" borderId="110" xfId="28" applyNumberFormat="1" applyFont="1" applyBorder="1">
      <alignment/>
      <protection/>
    </xf>
    <xf numFmtId="3" fontId="10" fillId="0" borderId="69" xfId="28" applyNumberFormat="1" applyFont="1" applyBorder="1">
      <alignment/>
      <protection/>
    </xf>
    <xf numFmtId="3" fontId="10" fillId="0" borderId="111" xfId="28" applyNumberFormat="1" applyFont="1" applyBorder="1">
      <alignment/>
      <protection/>
    </xf>
    <xf numFmtId="0" fontId="11" fillId="0" borderId="61" xfId="28" applyFont="1" applyBorder="1">
      <alignment/>
      <protection/>
    </xf>
    <xf numFmtId="3" fontId="10" fillId="0" borderId="91" xfId="28" applyNumberFormat="1" applyFont="1" applyBorder="1">
      <alignment/>
      <protection/>
    </xf>
    <xf numFmtId="3" fontId="13" fillId="0" borderId="72" xfId="28" applyNumberFormat="1" applyFont="1" applyBorder="1">
      <alignment/>
      <protection/>
    </xf>
    <xf numFmtId="3" fontId="13" fillId="0" borderId="71" xfId="28" applyNumberFormat="1" applyFont="1" applyBorder="1">
      <alignment/>
      <protection/>
    </xf>
    <xf numFmtId="3" fontId="13" fillId="0" borderId="92" xfId="28" applyNumberFormat="1" applyFont="1" applyBorder="1">
      <alignment/>
      <protection/>
    </xf>
    <xf numFmtId="3" fontId="13" fillId="0" borderId="69" xfId="28" applyNumberFormat="1" applyFont="1" applyBorder="1">
      <alignment/>
      <protection/>
    </xf>
    <xf numFmtId="3" fontId="10" fillId="0" borderId="112" xfId="28" applyNumberFormat="1" applyFont="1" applyBorder="1">
      <alignment/>
      <protection/>
    </xf>
    <xf numFmtId="3" fontId="13" fillId="0" borderId="92" xfId="28" applyNumberFormat="1" applyFont="1" applyBorder="1" applyAlignment="1">
      <alignment/>
      <protection/>
    </xf>
    <xf numFmtId="3" fontId="13" fillId="6" borderId="92" xfId="28" applyNumberFormat="1" applyFont="1" applyFill="1" applyBorder="1">
      <alignment/>
      <protection/>
    </xf>
    <xf numFmtId="3" fontId="10" fillId="0" borderId="113" xfId="28" applyNumberFormat="1" applyFont="1" applyBorder="1">
      <alignment/>
      <protection/>
    </xf>
    <xf numFmtId="3" fontId="13" fillId="3" borderId="92" xfId="28" applyNumberFormat="1" applyFont="1" applyFill="1" applyBorder="1">
      <alignment/>
      <protection/>
    </xf>
    <xf numFmtId="0" fontId="0" fillId="0" borderId="0" xfId="0" applyBorder="1" applyAlignment="1">
      <alignment/>
    </xf>
    <xf numFmtId="3" fontId="23" fillId="0" borderId="0" xfId="0" applyNumberFormat="1" applyFont="1" applyBorder="1" applyAlignment="1">
      <alignment/>
    </xf>
    <xf numFmtId="0" fontId="18" fillId="2" borderId="68" xfId="0" applyFont="1" applyFill="1" applyBorder="1" applyAlignment="1">
      <alignment/>
    </xf>
    <xf numFmtId="3" fontId="18" fillId="2" borderId="71" xfId="0" applyNumberFormat="1" applyFont="1" applyFill="1" applyBorder="1" applyAlignment="1">
      <alignment/>
    </xf>
    <xf numFmtId="3" fontId="18" fillId="2" borderId="70" xfId="0" applyNumberFormat="1" applyFont="1" applyFill="1" applyBorder="1" applyAlignment="1">
      <alignment/>
    </xf>
    <xf numFmtId="0" fontId="19" fillId="0" borderId="114" xfId="0" applyFont="1" applyFill="1" applyBorder="1" applyAlignment="1">
      <alignment/>
    </xf>
    <xf numFmtId="3" fontId="17" fillId="0" borderId="115" xfId="0" applyNumberFormat="1" applyFont="1" applyFill="1" applyBorder="1" applyAlignment="1">
      <alignment/>
    </xf>
    <xf numFmtId="3" fontId="17" fillId="0" borderId="116" xfId="0" applyNumberFormat="1" applyFont="1" applyFill="1" applyBorder="1" applyAlignment="1">
      <alignment/>
    </xf>
    <xf numFmtId="0" fontId="19" fillId="0" borderId="63" xfId="0" applyFont="1" applyFill="1" applyBorder="1" applyAlignment="1">
      <alignment/>
    </xf>
    <xf numFmtId="3" fontId="17" fillId="0" borderId="111" xfId="0" applyNumberFormat="1" applyFont="1" applyFill="1" applyBorder="1" applyAlignment="1">
      <alignment/>
    </xf>
    <xf numFmtId="3" fontId="18" fillId="2" borderId="117" xfId="0" applyNumberFormat="1" applyFont="1" applyFill="1" applyBorder="1" applyAlignment="1">
      <alignment/>
    </xf>
    <xf numFmtId="3" fontId="17" fillId="0" borderId="117" xfId="0" applyNumberFormat="1" applyFont="1" applyFill="1" applyBorder="1" applyAlignment="1">
      <alignment/>
    </xf>
    <xf numFmtId="0" fontId="22" fillId="2" borderId="68" xfId="0" applyFont="1" applyFill="1" applyBorder="1" applyAlignment="1">
      <alignment/>
    </xf>
    <xf numFmtId="0" fontId="22" fillId="0" borderId="118" xfId="0" applyFont="1" applyBorder="1" applyAlignment="1">
      <alignment horizontal="center" vertical="center"/>
    </xf>
    <xf numFmtId="0" fontId="22" fillId="0" borderId="119" xfId="0" applyFont="1" applyBorder="1" applyAlignment="1">
      <alignment horizontal="center" vertical="center" wrapText="1"/>
    </xf>
    <xf numFmtId="0" fontId="22" fillId="0" borderId="120" xfId="0" applyFont="1" applyBorder="1" applyAlignment="1">
      <alignment horizontal="center" vertical="center" wrapText="1"/>
    </xf>
    <xf numFmtId="3" fontId="17" fillId="0" borderId="117" xfId="0" applyNumberFormat="1" applyFont="1" applyBorder="1" applyAlignment="1">
      <alignment/>
    </xf>
    <xf numFmtId="3" fontId="17" fillId="0" borderId="111" xfId="0" applyNumberFormat="1" applyFont="1" applyBorder="1" applyAlignment="1">
      <alignment/>
    </xf>
    <xf numFmtId="166" fontId="17" fillId="0" borderId="23" xfId="0" applyNumberFormat="1" applyFont="1" applyFill="1" applyBorder="1" applyAlignment="1">
      <alignment horizontal="right"/>
    </xf>
    <xf numFmtId="0" fontId="20" fillId="2" borderId="68" xfId="0" applyFont="1" applyFill="1" applyBorder="1" applyAlignment="1">
      <alignment/>
    </xf>
    <xf numFmtId="3" fontId="21" fillId="2" borderId="71" xfId="0" applyNumberFormat="1" applyFont="1" applyFill="1" applyBorder="1" applyAlignment="1">
      <alignment/>
    </xf>
    <xf numFmtId="166" fontId="21" fillId="2" borderId="71" xfId="0" applyNumberFormat="1" applyFont="1" applyFill="1" applyBorder="1" applyAlignment="1">
      <alignment/>
    </xf>
    <xf numFmtId="0" fontId="21" fillId="2" borderId="71" xfId="0" applyFont="1" applyFill="1" applyBorder="1" applyAlignment="1">
      <alignment/>
    </xf>
    <xf numFmtId="166" fontId="21" fillId="2" borderId="70" xfId="0" applyNumberFormat="1" applyFont="1" applyFill="1" applyBorder="1" applyAlignment="1">
      <alignment/>
    </xf>
    <xf numFmtId="0" fontId="18" fillId="0" borderId="118" xfId="0" applyFont="1" applyBorder="1" applyAlignment="1">
      <alignment/>
    </xf>
    <xf numFmtId="0" fontId="17" fillId="0" borderId="119" xfId="0" applyFont="1" applyBorder="1" applyAlignment="1">
      <alignment horizontal="center" wrapText="1"/>
    </xf>
    <xf numFmtId="0" fontId="17" fillId="0" borderId="119" xfId="0" applyFont="1" applyBorder="1" applyAlignment="1">
      <alignment horizontal="center"/>
    </xf>
    <xf numFmtId="0" fontId="17" fillId="0" borderId="120" xfId="0" applyFont="1" applyBorder="1" applyAlignment="1">
      <alignment horizontal="center"/>
    </xf>
    <xf numFmtId="166" fontId="17" fillId="3" borderId="117" xfId="0" applyNumberFormat="1" applyFont="1" applyFill="1" applyBorder="1" applyAlignment="1">
      <alignment horizontal="right"/>
    </xf>
    <xf numFmtId="166" fontId="17" fillId="0" borderId="117" xfId="0" applyNumberFormat="1" applyFont="1" applyFill="1" applyBorder="1" applyAlignment="1">
      <alignment horizontal="right"/>
    </xf>
    <xf numFmtId="166" fontId="17" fillId="2" borderId="117" xfId="0" applyNumberFormat="1" applyFont="1" applyFill="1" applyBorder="1" applyAlignment="1">
      <alignment horizontal="right"/>
    </xf>
    <xf numFmtId="166" fontId="21" fillId="2" borderId="117" xfId="0" applyNumberFormat="1" applyFont="1" applyFill="1" applyBorder="1" applyAlignment="1">
      <alignment horizontal="right"/>
    </xf>
    <xf numFmtId="166" fontId="21" fillId="2" borderId="117" xfId="0" applyNumberFormat="1" applyFont="1" applyFill="1" applyBorder="1" applyAlignment="1">
      <alignment/>
    </xf>
    <xf numFmtId="166" fontId="17" fillId="0" borderId="111" xfId="0" applyNumberFormat="1" applyFont="1" applyFill="1" applyBorder="1" applyAlignment="1">
      <alignment horizontal="right"/>
    </xf>
    <xf numFmtId="164" fontId="11" fillId="0" borderId="49" xfId="0" applyNumberFormat="1" applyFont="1" applyFill="1" applyBorder="1" applyAlignment="1">
      <alignment horizontal="left" vertical="center" wrapText="1"/>
    </xf>
    <xf numFmtId="164" fontId="11" fillId="0" borderId="121" xfId="0" applyNumberFormat="1" applyFont="1" applyFill="1" applyBorder="1" applyAlignment="1">
      <alignment horizontal="left" vertical="center" wrapText="1"/>
    </xf>
    <xf numFmtId="164" fontId="10" fillId="2" borderId="68" xfId="0" applyNumberFormat="1" applyFont="1" applyFill="1" applyBorder="1" applyAlignment="1">
      <alignment horizontal="left" vertical="center" wrapText="1"/>
    </xf>
    <xf numFmtId="3" fontId="10" fillId="2" borderId="71" xfId="28" applyNumberFormat="1" applyFont="1" applyFill="1" applyBorder="1" applyAlignment="1">
      <alignment vertical="center"/>
      <protection/>
    </xf>
    <xf numFmtId="3" fontId="10" fillId="2" borderId="72" xfId="28" applyNumberFormat="1" applyFont="1" applyFill="1" applyBorder="1" applyAlignment="1">
      <alignment vertical="center"/>
      <protection/>
    </xf>
    <xf numFmtId="3" fontId="10" fillId="2" borderId="122" xfId="28" applyNumberFormat="1" applyFont="1" applyFill="1" applyBorder="1" applyAlignment="1">
      <alignment horizontal="center" vertical="center"/>
      <protection/>
    </xf>
    <xf numFmtId="164" fontId="10" fillId="2" borderId="123" xfId="0" applyNumberFormat="1" applyFont="1" applyFill="1" applyBorder="1" applyAlignment="1">
      <alignment horizontal="left" vertical="center" wrapText="1"/>
    </xf>
    <xf numFmtId="3" fontId="10" fillId="2" borderId="71" xfId="29" applyNumberFormat="1" applyFont="1" applyFill="1" applyBorder="1" applyAlignment="1">
      <alignment vertical="center"/>
      <protection/>
    </xf>
    <xf numFmtId="3" fontId="10" fillId="2" borderId="70" xfId="28" applyNumberFormat="1" applyFont="1" applyFill="1" applyBorder="1" applyAlignment="1">
      <alignment vertical="center"/>
      <protection/>
    </xf>
    <xf numFmtId="3" fontId="10" fillId="0" borderId="122" xfId="28" applyNumberFormat="1" applyFont="1" applyBorder="1">
      <alignment/>
      <protection/>
    </xf>
    <xf numFmtId="164" fontId="11" fillId="0" borderId="123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71" xfId="29" applyNumberFormat="1" applyFont="1" applyBorder="1" applyAlignment="1">
      <alignment vertical="center"/>
      <protection/>
    </xf>
    <xf numFmtId="3" fontId="10" fillId="0" borderId="124" xfId="29" applyNumberFormat="1" applyFont="1" applyBorder="1" applyAlignment="1">
      <alignment vertical="center"/>
      <protection/>
    </xf>
    <xf numFmtId="3" fontId="10" fillId="0" borderId="125" xfId="28" applyNumberFormat="1" applyFont="1" applyBorder="1" applyAlignment="1">
      <alignment vertical="center"/>
      <protection/>
    </xf>
    <xf numFmtId="3" fontId="10" fillId="0" borderId="72" xfId="29" applyNumberFormat="1" applyFont="1" applyBorder="1" applyAlignment="1">
      <alignment vertical="center"/>
      <protection/>
    </xf>
    <xf numFmtId="0" fontId="7" fillId="0" borderId="22" xfId="29" applyFont="1" applyBorder="1">
      <alignment/>
      <protection/>
    </xf>
    <xf numFmtId="3" fontId="7" fillId="0" borderId="55" xfId="29" applyNumberFormat="1" applyFont="1" applyBorder="1">
      <alignment/>
      <protection/>
    </xf>
    <xf numFmtId="3" fontId="10" fillId="2" borderId="72" xfId="29" applyNumberFormat="1" applyFont="1" applyFill="1" applyBorder="1" applyAlignment="1">
      <alignment vertical="center"/>
      <protection/>
    </xf>
    <xf numFmtId="3" fontId="7" fillId="0" borderId="106" xfId="28" applyNumberFormat="1" applyFont="1" applyBorder="1">
      <alignment/>
      <protection/>
    </xf>
    <xf numFmtId="3" fontId="10" fillId="0" borderId="69" xfId="28" applyNumberFormat="1" applyFont="1" applyBorder="1" applyAlignment="1">
      <alignment vertical="center"/>
      <protection/>
    </xf>
    <xf numFmtId="0" fontId="7" fillId="0" borderId="107" xfId="28" applyFont="1" applyBorder="1">
      <alignment/>
      <protection/>
    </xf>
    <xf numFmtId="3" fontId="7" fillId="0" borderId="109" xfId="28" applyNumberFormat="1" applyFont="1" applyBorder="1">
      <alignment/>
      <protection/>
    </xf>
    <xf numFmtId="3" fontId="10" fillId="2" borderId="69" xfId="28" applyNumberFormat="1" applyFont="1" applyFill="1" applyBorder="1" applyAlignment="1">
      <alignment vertical="center"/>
      <protection/>
    </xf>
    <xf numFmtId="3" fontId="10" fillId="0" borderId="126" xfId="28" applyNumberFormat="1" applyFont="1" applyBorder="1" applyAlignment="1">
      <alignment vertical="center"/>
      <protection/>
    </xf>
    <xf numFmtId="3" fontId="7" fillId="0" borderId="103" xfId="29" applyNumberFormat="1" applyFont="1" applyBorder="1">
      <alignment/>
      <protection/>
    </xf>
    <xf numFmtId="3" fontId="7" fillId="0" borderId="104" xfId="29" applyNumberFormat="1" applyFont="1" applyBorder="1">
      <alignment/>
      <protection/>
    </xf>
    <xf numFmtId="3" fontId="7" fillId="0" borderId="105" xfId="29" applyNumberFormat="1" applyFont="1" applyBorder="1">
      <alignment/>
      <protection/>
    </xf>
    <xf numFmtId="3" fontId="10" fillId="0" borderId="127" xfId="29" applyNumberFormat="1" applyFont="1" applyBorder="1" applyAlignment="1">
      <alignment vertical="center"/>
      <protection/>
    </xf>
    <xf numFmtId="0" fontId="7" fillId="0" borderId="104" xfId="29" applyFont="1" applyBorder="1">
      <alignment/>
      <protection/>
    </xf>
    <xf numFmtId="3" fontId="10" fillId="0" borderId="104" xfId="29" applyNumberFormat="1" applyFont="1" applyBorder="1">
      <alignment/>
      <protection/>
    </xf>
    <xf numFmtId="3" fontId="10" fillId="0" borderId="105" xfId="29" applyNumberFormat="1" applyFont="1" applyBorder="1">
      <alignment/>
      <protection/>
    </xf>
    <xf numFmtId="3" fontId="10" fillId="2" borderId="127" xfId="29" applyNumberFormat="1" applyFont="1" applyFill="1" applyBorder="1" applyAlignment="1">
      <alignment vertical="center"/>
      <protection/>
    </xf>
    <xf numFmtId="3" fontId="10" fillId="0" borderId="128" xfId="28" applyNumberFormat="1" applyFont="1" applyBorder="1" applyAlignment="1">
      <alignment vertical="center"/>
      <protection/>
    </xf>
    <xf numFmtId="3" fontId="10" fillId="2" borderId="128" xfId="28" applyNumberFormat="1" applyFont="1" applyFill="1" applyBorder="1" applyAlignment="1">
      <alignment vertical="center"/>
      <protection/>
    </xf>
    <xf numFmtId="0" fontId="19" fillId="0" borderId="129" xfId="0" applyFont="1" applyFill="1" applyBorder="1" applyAlignment="1">
      <alignment/>
    </xf>
    <xf numFmtId="3" fontId="17" fillId="0" borderId="54" xfId="0" applyNumberFormat="1" applyFont="1" applyBorder="1" applyAlignment="1">
      <alignment/>
    </xf>
    <xf numFmtId="3" fontId="17" fillId="0" borderId="54" xfId="0" applyNumberFormat="1" applyFont="1" applyFill="1" applyBorder="1" applyAlignment="1">
      <alignment/>
    </xf>
    <xf numFmtId="3" fontId="17" fillId="0" borderId="78" xfId="0" applyNumberFormat="1" applyFont="1" applyFill="1" applyBorder="1" applyAlignment="1">
      <alignment/>
    </xf>
    <xf numFmtId="0" fontId="19" fillId="0" borderId="130" xfId="0" applyFont="1" applyFill="1" applyBorder="1" applyAlignment="1">
      <alignment/>
    </xf>
    <xf numFmtId="3" fontId="17" fillId="0" borderId="131" xfId="0" applyNumberFormat="1" applyFont="1" applyFill="1" applyBorder="1" applyAlignment="1">
      <alignment/>
    </xf>
    <xf numFmtId="3" fontId="17" fillId="0" borderId="77" xfId="0" applyNumberFormat="1" applyFont="1" applyFill="1" applyBorder="1" applyAlignment="1">
      <alignment/>
    </xf>
    <xf numFmtId="3" fontId="25" fillId="0" borderId="132" xfId="19" applyNumberFormat="1" applyFont="1" applyBorder="1">
      <alignment/>
      <protection/>
    </xf>
    <xf numFmtId="3" fontId="25" fillId="0" borderId="133" xfId="19" applyNumberFormat="1" applyFont="1" applyBorder="1">
      <alignment/>
      <protection/>
    </xf>
    <xf numFmtId="3" fontId="25" fillId="0" borderId="134" xfId="19" applyNumberFormat="1" applyFont="1" applyBorder="1">
      <alignment/>
      <protection/>
    </xf>
    <xf numFmtId="3" fontId="25" fillId="0" borderId="135" xfId="19" applyNumberFormat="1" applyFont="1" applyBorder="1">
      <alignment/>
      <protection/>
    </xf>
    <xf numFmtId="3" fontId="25" fillId="0" borderId="136" xfId="19" applyNumberFormat="1" applyFont="1" applyBorder="1">
      <alignment/>
      <protection/>
    </xf>
    <xf numFmtId="0" fontId="19" fillId="0" borderId="61" xfId="0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7" fillId="0" borderId="81" xfId="0" applyNumberFormat="1" applyFont="1" applyFill="1" applyBorder="1" applyAlignment="1">
      <alignment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3" fillId="0" borderId="0" xfId="24" applyFont="1" applyBorder="1" applyAlignment="1">
      <alignment horizontal="center"/>
      <protection/>
    </xf>
    <xf numFmtId="0" fontId="3" fillId="0" borderId="0" xfId="25" applyFont="1" applyBorder="1" applyAlignment="1">
      <alignment horizontal="center" wrapText="1"/>
      <protection/>
    </xf>
    <xf numFmtId="0" fontId="9" fillId="0" borderId="0" xfId="28" applyFont="1" applyBorder="1" applyAlignment="1">
      <alignment horizontal="center"/>
      <protection/>
    </xf>
    <xf numFmtId="0" fontId="15" fillId="0" borderId="57" xfId="23" applyFont="1" applyBorder="1" applyAlignment="1">
      <alignment horizontal="right"/>
      <protection/>
    </xf>
    <xf numFmtId="0" fontId="18" fillId="0" borderId="43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5" fillId="0" borderId="0" xfId="23" applyFont="1" applyBorder="1" applyAlignment="1">
      <alignment horizontal="right"/>
      <protection/>
    </xf>
    <xf numFmtId="0" fontId="16" fillId="0" borderId="0" xfId="19" applyFont="1" applyBorder="1" applyAlignment="1">
      <alignment/>
      <protection/>
    </xf>
    <xf numFmtId="0" fontId="9" fillId="0" borderId="0" xfId="26" applyFont="1" applyBorder="1" applyAlignment="1">
      <alignment horizontal="center"/>
      <protection/>
    </xf>
    <xf numFmtId="0" fontId="15" fillId="0" borderId="0" xfId="26" applyFont="1" applyBorder="1" applyAlignment="1">
      <alignment horizontal="center"/>
      <protection/>
    </xf>
  </cellXfs>
  <cellStyles count="21">
    <cellStyle name="Normal" xfId="0"/>
    <cellStyle name="Comma" xfId="15"/>
    <cellStyle name="Comma [0]" xfId="16"/>
    <cellStyle name="Hyperlink" xfId="17"/>
    <cellStyle name="Followed Hyperlink" xfId="18"/>
    <cellStyle name="Normál_06terv" xfId="19"/>
    <cellStyle name="Normál_07.I. módosítás" xfId="20"/>
    <cellStyle name="Normál_2010.I. módosítás" xfId="21"/>
    <cellStyle name="Normál_2011.I.félévi beszámoló" xfId="22"/>
    <cellStyle name="Normál_adósság" xfId="23"/>
    <cellStyle name="Normál_címrend1" xfId="24"/>
    <cellStyle name="Normál_címrend2" xfId="25"/>
    <cellStyle name="Normál_Köttsv.2004" xfId="26"/>
    <cellStyle name="Normál_KVRENMUNKA" xfId="27"/>
    <cellStyle name="Normál_mérleg" xfId="28"/>
    <cellStyle name="Normál_mérleg_2011.I.félévi beszámoló" xfId="29"/>
    <cellStyle name="Normál_Munkafüzet2" xfId="30"/>
    <cellStyle name="Normál_Vált.2003-04" xfId="31"/>
    <cellStyle name="Currency" xfId="32"/>
    <cellStyle name="Currency [0]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.IV.m&#243;d.t&#225;bl&#225;zat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011.IV.m&#243;d.t&#225;bl&#225;zata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1.III.n&#233;vi%20t&#225;j&#233;koz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 ÚJ"/>
      <sheetName val="mérleg működési (2)"/>
      <sheetName val="mérleg felhalmozási (2)"/>
      <sheetName val="Bev-kiad."/>
      <sheetName val="Részben ön."/>
      <sheetName val="Szakfela."/>
      <sheetName val="címrend 2"/>
      <sheetName val="Felhalm."/>
      <sheetName val="finanszír."/>
      <sheetName val="Ei.felh."/>
    </sheetNames>
    <sheetDataSet>
      <sheetData sheetId="0">
        <row r="33">
          <cell r="F33">
            <v>4096707</v>
          </cell>
        </row>
        <row r="38">
          <cell r="F38">
            <v>67273</v>
          </cell>
        </row>
        <row r="54">
          <cell r="F54">
            <v>698390</v>
          </cell>
        </row>
        <row r="72">
          <cell r="G72">
            <v>4149181</v>
          </cell>
        </row>
        <row r="73">
          <cell r="G73">
            <v>1119165</v>
          </cell>
        </row>
        <row r="75">
          <cell r="G75">
            <v>2865369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érleg ÚJ"/>
      <sheetName val="mérleg működési (2)"/>
      <sheetName val="mérleg felhalmozási (2)"/>
      <sheetName val="Bev-kiad."/>
      <sheetName val="Részben ön."/>
      <sheetName val="Szakfela."/>
      <sheetName val="címrend 2"/>
      <sheetName val="Felhalm."/>
      <sheetName val="finanszír."/>
      <sheetName val="Ei.felh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ímrend 1"/>
      <sheetName val="címrend 2"/>
      <sheetName val="mérleg ÚJ (2)"/>
      <sheetName val="mérleg működési"/>
      <sheetName val="mérleg felhalmozási"/>
      <sheetName val="önállóak bev-kiad"/>
      <sheetName val="részl. bevételek"/>
      <sheetName val="részl.kiadások"/>
      <sheetName val="R.önálló i"/>
      <sheetName val="Felhalm."/>
      <sheetName val="segédtábla (2)"/>
    </sheetNames>
    <sheetDataSet>
      <sheetData sheetId="2">
        <row r="45">
          <cell r="G45">
            <v>741390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G26"/>
  <sheetViews>
    <sheetView tabSelected="1" workbookViewId="0" topLeftCell="A1">
      <selection activeCell="F17" sqref="F17"/>
    </sheetView>
  </sheetViews>
  <sheetFormatPr defaultColWidth="9.00390625" defaultRowHeight="13.5" customHeight="1"/>
  <cols>
    <col min="1" max="1" width="4.375" style="1" customWidth="1"/>
    <col min="2" max="2" width="9.00390625" style="1" customWidth="1"/>
    <col min="3" max="3" width="42.875" style="1" customWidth="1"/>
    <col min="4" max="4" width="10.625" style="1" customWidth="1"/>
    <col min="5" max="16384" width="9.125" style="1" customWidth="1"/>
  </cols>
  <sheetData>
    <row r="1" spans="2:7" ht="15.75" customHeight="1">
      <c r="B1" s="533" t="s">
        <v>0</v>
      </c>
      <c r="C1" s="533"/>
      <c r="D1" s="2"/>
      <c r="E1" s="2"/>
      <c r="F1" s="3"/>
      <c r="G1" s="3"/>
    </row>
    <row r="2" spans="3:6" ht="15.75" customHeight="1">
      <c r="C2" s="4"/>
      <c r="D2" s="4"/>
      <c r="E2" s="4"/>
      <c r="F2" s="4"/>
    </row>
    <row r="3" spans="4:7" ht="28.5" customHeight="1">
      <c r="D3" s="5"/>
      <c r="E3" s="5"/>
      <c r="F3" s="5"/>
      <c r="G3" s="5"/>
    </row>
    <row r="4" spans="1:3" ht="13.5" customHeight="1">
      <c r="A4" s="6"/>
      <c r="B4" s="7" t="s">
        <v>1</v>
      </c>
      <c r="C4" s="8" t="s">
        <v>2</v>
      </c>
    </row>
    <row r="5" spans="1:3" ht="15" customHeight="1">
      <c r="A5" s="9"/>
      <c r="B5" s="10" t="s">
        <v>3</v>
      </c>
      <c r="C5" s="11" t="s">
        <v>4</v>
      </c>
    </row>
    <row r="6" spans="1:6" ht="14.25" customHeight="1">
      <c r="A6" s="12" t="s">
        <v>5</v>
      </c>
      <c r="B6" s="13" t="s">
        <v>5</v>
      </c>
      <c r="C6" s="14" t="s">
        <v>6</v>
      </c>
      <c r="F6" s="1" t="s">
        <v>7</v>
      </c>
    </row>
    <row r="7" spans="1:3" ht="14.25" customHeight="1">
      <c r="A7" s="12" t="s">
        <v>8</v>
      </c>
      <c r="B7" s="15" t="s">
        <v>8</v>
      </c>
      <c r="C7" s="16" t="s">
        <v>9</v>
      </c>
    </row>
    <row r="8" spans="1:3" ht="14.25" customHeight="1">
      <c r="A8" s="12" t="s">
        <v>10</v>
      </c>
      <c r="B8" s="15" t="s">
        <v>10</v>
      </c>
      <c r="C8" s="16" t="s">
        <v>11</v>
      </c>
    </row>
    <row r="9" spans="1:3" ht="29.25" customHeight="1">
      <c r="A9" s="17" t="s">
        <v>12</v>
      </c>
      <c r="B9" s="18" t="s">
        <v>12</v>
      </c>
      <c r="C9" s="19" t="s">
        <v>13</v>
      </c>
    </row>
    <row r="10" spans="1:3" ht="14.25" customHeight="1">
      <c r="A10" s="12" t="s">
        <v>14</v>
      </c>
      <c r="B10" s="20" t="s">
        <v>15</v>
      </c>
      <c r="C10" s="21" t="s">
        <v>16</v>
      </c>
    </row>
    <row r="11" spans="1:3" ht="14.25" customHeight="1">
      <c r="A11" s="12" t="s">
        <v>17</v>
      </c>
      <c r="B11" s="22" t="s">
        <v>18</v>
      </c>
      <c r="C11" s="16" t="s">
        <v>19</v>
      </c>
    </row>
    <row r="12" spans="1:3" ht="14.25" customHeight="1">
      <c r="A12" s="12" t="s">
        <v>20</v>
      </c>
      <c r="B12" s="23" t="s">
        <v>21</v>
      </c>
      <c r="C12" s="16" t="s">
        <v>22</v>
      </c>
    </row>
    <row r="13" spans="1:3" ht="14.25" customHeight="1">
      <c r="A13" s="12" t="s">
        <v>23</v>
      </c>
      <c r="B13" s="22" t="s">
        <v>24</v>
      </c>
      <c r="C13" s="16" t="s">
        <v>25</v>
      </c>
    </row>
    <row r="14" spans="1:3" ht="14.25" customHeight="1">
      <c r="A14" s="12" t="s">
        <v>26</v>
      </c>
      <c r="B14" s="23" t="s">
        <v>27</v>
      </c>
      <c r="C14" s="16" t="s">
        <v>28</v>
      </c>
    </row>
    <row r="15" spans="1:3" ht="14.25" customHeight="1">
      <c r="A15" s="12" t="s">
        <v>29</v>
      </c>
      <c r="B15" s="23" t="s">
        <v>30</v>
      </c>
      <c r="C15" s="16" t="s">
        <v>31</v>
      </c>
    </row>
    <row r="16" spans="1:3" ht="15" customHeight="1">
      <c r="A16" s="12" t="s">
        <v>32</v>
      </c>
      <c r="B16" s="24" t="s">
        <v>33</v>
      </c>
      <c r="C16" s="25" t="s">
        <v>34</v>
      </c>
    </row>
    <row r="17" spans="1:3" ht="14.25" customHeight="1">
      <c r="A17" s="26" t="s">
        <v>35</v>
      </c>
      <c r="B17" s="13" t="s">
        <v>14</v>
      </c>
      <c r="C17" s="14" t="s">
        <v>36</v>
      </c>
    </row>
    <row r="18" spans="1:3" ht="14.25" customHeight="1">
      <c r="A18" s="12" t="s">
        <v>37</v>
      </c>
      <c r="B18" s="15" t="s">
        <v>17</v>
      </c>
      <c r="C18" s="16" t="s">
        <v>38</v>
      </c>
    </row>
    <row r="19" spans="1:3" ht="14.25" customHeight="1">
      <c r="A19" s="12" t="s">
        <v>39</v>
      </c>
      <c r="B19" s="15" t="s">
        <v>20</v>
      </c>
      <c r="C19" s="16" t="s">
        <v>40</v>
      </c>
    </row>
    <row r="20" spans="1:3" ht="14.25" customHeight="1">
      <c r="A20" s="12" t="s">
        <v>41</v>
      </c>
      <c r="B20" s="15" t="s">
        <v>42</v>
      </c>
      <c r="C20" s="16" t="s">
        <v>43</v>
      </c>
    </row>
    <row r="21" spans="1:3" ht="14.25" customHeight="1">
      <c r="A21" s="12" t="s">
        <v>44</v>
      </c>
      <c r="B21" s="15" t="s">
        <v>26</v>
      </c>
      <c r="C21" s="16" t="s">
        <v>45</v>
      </c>
    </row>
    <row r="22" spans="1:3" ht="14.25" customHeight="1">
      <c r="A22" s="12" t="s">
        <v>46</v>
      </c>
      <c r="B22" s="15" t="s">
        <v>29</v>
      </c>
      <c r="C22" s="16" t="s">
        <v>47</v>
      </c>
    </row>
    <row r="23" spans="1:3" ht="14.25" customHeight="1">
      <c r="A23" s="12" t="s">
        <v>48</v>
      </c>
      <c r="B23" s="15" t="s">
        <v>32</v>
      </c>
      <c r="C23" s="16" t="s">
        <v>49</v>
      </c>
    </row>
    <row r="24" spans="1:3" ht="14.25" customHeight="1">
      <c r="A24" s="12" t="s">
        <v>50</v>
      </c>
      <c r="B24" s="15"/>
      <c r="C24" s="16" t="s">
        <v>51</v>
      </c>
    </row>
    <row r="25" spans="1:3" ht="15" customHeight="1">
      <c r="A25" s="27" t="s">
        <v>52</v>
      </c>
      <c r="B25" s="28"/>
      <c r="C25" s="25" t="s">
        <v>53</v>
      </c>
    </row>
    <row r="26" ht="12.75" customHeight="1">
      <c r="B26" s="29" t="s">
        <v>54</v>
      </c>
    </row>
  </sheetData>
  <sheetProtection selectLockedCells="1" selectUnlockedCells="1"/>
  <mergeCells count="1">
    <mergeCell ref="B1:C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scale="95" r:id="rId1"/>
  <headerFooter alignWithMargins="0">
    <oddHeader>&amp;L&amp;8 1. melléklet a …/…..(….)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10.Felhalm."/>
  <dimension ref="A1:H116"/>
  <sheetViews>
    <sheetView zoomScale="85" zoomScaleNormal="85" workbookViewId="0" topLeftCell="A1">
      <selection activeCell="H111" sqref="H111"/>
    </sheetView>
  </sheetViews>
  <sheetFormatPr defaultColWidth="9.00390625" defaultRowHeight="12.75"/>
  <cols>
    <col min="1" max="1" width="3.25390625" style="180" customWidth="1"/>
    <col min="2" max="2" width="62.875" style="180" customWidth="1"/>
    <col min="3" max="4" width="11.125" style="180" customWidth="1"/>
    <col min="5" max="5" width="9.00390625" style="180" customWidth="1"/>
    <col min="6" max="6" width="6.75390625" style="180" customWidth="1"/>
    <col min="7" max="16384" width="9.125" style="180" customWidth="1"/>
  </cols>
  <sheetData>
    <row r="1" spans="2:4" ht="15">
      <c r="B1" s="541" t="s">
        <v>380</v>
      </c>
      <c r="C1" s="541"/>
      <c r="D1" s="541"/>
    </row>
    <row r="2" spans="2:4" ht="15">
      <c r="B2" s="188"/>
      <c r="C2" s="188"/>
      <c r="D2" s="188"/>
    </row>
    <row r="3" spans="2:4" ht="15">
      <c r="B3" s="188"/>
      <c r="C3" s="188"/>
      <c r="D3" s="188"/>
    </row>
    <row r="4" spans="2:4" ht="15">
      <c r="B4" s="188"/>
      <c r="C4" s="188"/>
      <c r="D4" s="188"/>
    </row>
    <row r="6" spans="3:4" ht="13.5" thickBot="1">
      <c r="C6" s="542" t="s">
        <v>90</v>
      </c>
      <c r="D6" s="542"/>
    </row>
    <row r="7" spans="1:6" ht="13.5" thickBot="1">
      <c r="A7" s="230"/>
      <c r="B7" s="231" t="s">
        <v>1</v>
      </c>
      <c r="C7" s="232" t="s">
        <v>2</v>
      </c>
      <c r="D7" s="233" t="s">
        <v>56</v>
      </c>
      <c r="E7" s="234" t="s">
        <v>57</v>
      </c>
      <c r="F7" s="235" t="s">
        <v>58</v>
      </c>
    </row>
    <row r="8" spans="1:6" ht="24.75" customHeight="1" thickBot="1">
      <c r="A8" s="190"/>
      <c r="B8" s="227" t="s">
        <v>381</v>
      </c>
      <c r="C8" s="238" t="s">
        <v>382</v>
      </c>
      <c r="D8" s="239" t="s">
        <v>383</v>
      </c>
      <c r="E8" s="228" t="s">
        <v>493</v>
      </c>
      <c r="F8" s="229" t="s">
        <v>453</v>
      </c>
    </row>
    <row r="9" spans="1:6" ht="15" customHeight="1">
      <c r="A9" s="182" t="s">
        <v>5</v>
      </c>
      <c r="B9" s="375" t="s">
        <v>384</v>
      </c>
      <c r="C9" s="376">
        <v>159040</v>
      </c>
      <c r="D9" s="377">
        <v>159040</v>
      </c>
      <c r="E9" s="191">
        <v>27600</v>
      </c>
      <c r="F9" s="226">
        <f aca="true" t="shared" si="0" ref="F9:F23">E9/D9*100</f>
        <v>17.354124748490946</v>
      </c>
    </row>
    <row r="10" spans="1:6" ht="15" customHeight="1">
      <c r="A10" s="182" t="s">
        <v>8</v>
      </c>
      <c r="B10" s="375" t="s">
        <v>385</v>
      </c>
      <c r="C10" s="378">
        <v>39760</v>
      </c>
      <c r="D10" s="379">
        <v>39760</v>
      </c>
      <c r="E10" s="191">
        <v>2367</v>
      </c>
      <c r="F10" s="214">
        <f t="shared" si="0"/>
        <v>5.953219315895372</v>
      </c>
    </row>
    <row r="11" spans="1:6" ht="15" customHeight="1">
      <c r="A11" s="182" t="s">
        <v>10</v>
      </c>
      <c r="B11" s="184" t="s">
        <v>386</v>
      </c>
      <c r="C11" s="378"/>
      <c r="D11" s="379"/>
      <c r="E11" s="191"/>
      <c r="F11" s="214"/>
    </row>
    <row r="12" spans="1:6" ht="15" customHeight="1">
      <c r="A12" s="182" t="s">
        <v>12</v>
      </c>
      <c r="B12" s="184" t="s">
        <v>387</v>
      </c>
      <c r="C12" s="378">
        <v>580940</v>
      </c>
      <c r="D12" s="379">
        <v>580940</v>
      </c>
      <c r="E12" s="191">
        <v>238641</v>
      </c>
      <c r="F12" s="214">
        <f t="shared" si="0"/>
        <v>41.07842462216408</v>
      </c>
    </row>
    <row r="13" spans="1:6" ht="15" customHeight="1">
      <c r="A13" s="182" t="s">
        <v>14</v>
      </c>
      <c r="B13" s="184" t="s">
        <v>388</v>
      </c>
      <c r="C13" s="378">
        <v>45878</v>
      </c>
      <c r="D13" s="379">
        <v>45878</v>
      </c>
      <c r="E13" s="378">
        <v>111727</v>
      </c>
      <c r="F13" s="214">
        <f t="shared" si="0"/>
        <v>243.5306682941715</v>
      </c>
    </row>
    <row r="14" spans="1:6" ht="15" customHeight="1">
      <c r="A14" s="182" t="s">
        <v>17</v>
      </c>
      <c r="B14" s="184" t="s">
        <v>389</v>
      </c>
      <c r="C14" s="378">
        <v>105822</v>
      </c>
      <c r="D14" s="379">
        <v>105822</v>
      </c>
      <c r="E14" s="191">
        <v>1442</v>
      </c>
      <c r="F14" s="214">
        <f t="shared" si="0"/>
        <v>1.3626656082856117</v>
      </c>
    </row>
    <row r="15" spans="1:6" ht="15" customHeight="1">
      <c r="A15" s="182" t="s">
        <v>20</v>
      </c>
      <c r="B15" s="380" t="s">
        <v>390</v>
      </c>
      <c r="C15" s="378">
        <v>183160</v>
      </c>
      <c r="D15" s="379">
        <v>183160</v>
      </c>
      <c r="E15" s="378">
        <v>34782</v>
      </c>
      <c r="F15" s="214">
        <f t="shared" si="0"/>
        <v>18.989954138458177</v>
      </c>
    </row>
    <row r="16" spans="1:6" ht="15" customHeight="1">
      <c r="A16" s="182" t="s">
        <v>23</v>
      </c>
      <c r="B16" s="184" t="s">
        <v>391</v>
      </c>
      <c r="C16" s="378">
        <v>9644</v>
      </c>
      <c r="D16" s="379">
        <v>9644</v>
      </c>
      <c r="E16" s="378">
        <v>9639</v>
      </c>
      <c r="F16" s="214">
        <f t="shared" si="0"/>
        <v>99.94815429282455</v>
      </c>
    </row>
    <row r="17" spans="1:6" ht="15" customHeight="1">
      <c r="A17" s="182" t="s">
        <v>26</v>
      </c>
      <c r="B17" s="184" t="s">
        <v>392</v>
      </c>
      <c r="C17" s="378">
        <v>1100</v>
      </c>
      <c r="D17" s="379">
        <v>1100</v>
      </c>
      <c r="E17" s="191">
        <v>1100</v>
      </c>
      <c r="F17" s="214">
        <f t="shared" si="0"/>
        <v>100</v>
      </c>
    </row>
    <row r="18" spans="1:6" ht="15" customHeight="1">
      <c r="A18" s="182" t="s">
        <v>29</v>
      </c>
      <c r="B18" s="184" t="s">
        <v>393</v>
      </c>
      <c r="C18" s="378">
        <v>24280</v>
      </c>
      <c r="D18" s="379">
        <v>24280</v>
      </c>
      <c r="E18" s="191">
        <v>14654</v>
      </c>
      <c r="F18" s="214">
        <f t="shared" si="0"/>
        <v>60.35420098846787</v>
      </c>
    </row>
    <row r="19" spans="1:6" ht="15" customHeight="1">
      <c r="A19" s="182" t="s">
        <v>32</v>
      </c>
      <c r="B19" s="184" t="s">
        <v>394</v>
      </c>
      <c r="C19" s="378">
        <v>4353</v>
      </c>
      <c r="D19" s="379">
        <v>4353</v>
      </c>
      <c r="E19" s="191"/>
      <c r="F19" s="214">
        <f t="shared" si="0"/>
        <v>0</v>
      </c>
    </row>
    <row r="20" spans="1:6" ht="15" customHeight="1">
      <c r="A20" s="182" t="s">
        <v>35</v>
      </c>
      <c r="B20" s="184" t="s">
        <v>395</v>
      </c>
      <c r="C20" s="378">
        <v>61464</v>
      </c>
      <c r="D20" s="379">
        <v>61464</v>
      </c>
      <c r="E20" s="191">
        <v>60403</v>
      </c>
      <c r="F20" s="214">
        <f t="shared" si="0"/>
        <v>98.2737862814005</v>
      </c>
    </row>
    <row r="21" spans="1:6" ht="15" customHeight="1">
      <c r="A21" s="182" t="s">
        <v>37</v>
      </c>
      <c r="B21" s="380" t="s">
        <v>396</v>
      </c>
      <c r="C21" s="378">
        <v>1650</v>
      </c>
      <c r="D21" s="379">
        <v>1650</v>
      </c>
      <c r="E21" s="381">
        <v>1650</v>
      </c>
      <c r="F21" s="214">
        <f t="shared" si="0"/>
        <v>100</v>
      </c>
    </row>
    <row r="22" spans="1:6" ht="15" customHeight="1">
      <c r="A22" s="182" t="s">
        <v>39</v>
      </c>
      <c r="B22" s="184" t="s">
        <v>397</v>
      </c>
      <c r="C22" s="378">
        <v>148572</v>
      </c>
      <c r="D22" s="379">
        <v>148572</v>
      </c>
      <c r="E22" s="191"/>
      <c r="F22" s="214">
        <f t="shared" si="0"/>
        <v>0</v>
      </c>
    </row>
    <row r="23" spans="1:6" ht="15" customHeight="1">
      <c r="A23" s="182" t="s">
        <v>41</v>
      </c>
      <c r="B23" s="382" t="s">
        <v>398</v>
      </c>
      <c r="C23" s="378">
        <v>16508</v>
      </c>
      <c r="D23" s="379">
        <v>16508</v>
      </c>
      <c r="E23" s="381">
        <v>1071</v>
      </c>
      <c r="F23" s="214">
        <f t="shared" si="0"/>
        <v>6.4877635086018905</v>
      </c>
    </row>
    <row r="24" spans="1:6" ht="15" customHeight="1">
      <c r="A24" s="182" t="s">
        <v>44</v>
      </c>
      <c r="B24" s="380" t="s">
        <v>399</v>
      </c>
      <c r="C24" s="378">
        <v>461456</v>
      </c>
      <c r="D24" s="379">
        <v>461456</v>
      </c>
      <c r="E24" s="191"/>
      <c r="F24" s="214">
        <v>0</v>
      </c>
    </row>
    <row r="25" spans="1:6" ht="15" customHeight="1">
      <c r="A25" s="182" t="s">
        <v>46</v>
      </c>
      <c r="B25" s="380" t="s">
        <v>400</v>
      </c>
      <c r="C25" s="378">
        <v>164375</v>
      </c>
      <c r="D25" s="379">
        <v>164375</v>
      </c>
      <c r="E25" s="381"/>
      <c r="F25" s="214">
        <f aca="true" t="shared" si="1" ref="F25:F41">E25/D25*100</f>
        <v>0</v>
      </c>
    </row>
    <row r="26" spans="1:6" ht="15" customHeight="1">
      <c r="A26" s="182" t="s">
        <v>48</v>
      </c>
      <c r="B26" s="380" t="s">
        <v>401</v>
      </c>
      <c r="C26" s="378">
        <v>108557</v>
      </c>
      <c r="D26" s="379">
        <v>108557</v>
      </c>
      <c r="E26" s="191"/>
      <c r="F26" s="214">
        <f t="shared" si="1"/>
        <v>0</v>
      </c>
    </row>
    <row r="27" spans="1:6" ht="15" customHeight="1">
      <c r="A27" s="182" t="s">
        <v>50</v>
      </c>
      <c r="B27" s="184" t="s">
        <v>402</v>
      </c>
      <c r="C27" s="378">
        <v>8750</v>
      </c>
      <c r="D27" s="379">
        <v>8750</v>
      </c>
      <c r="E27" s="191">
        <v>1976</v>
      </c>
      <c r="F27" s="214">
        <f t="shared" si="1"/>
        <v>22.582857142857144</v>
      </c>
    </row>
    <row r="28" spans="1:6" ht="15" customHeight="1">
      <c r="A28" s="182" t="s">
        <v>52</v>
      </c>
      <c r="B28" s="184" t="s">
        <v>403</v>
      </c>
      <c r="C28" s="378">
        <v>8000</v>
      </c>
      <c r="D28" s="379">
        <v>8000</v>
      </c>
      <c r="E28" s="191">
        <v>2486</v>
      </c>
      <c r="F28" s="214">
        <f t="shared" si="1"/>
        <v>31.075000000000003</v>
      </c>
    </row>
    <row r="29" spans="1:6" ht="15" customHeight="1">
      <c r="A29" s="182" t="s">
        <v>83</v>
      </c>
      <c r="B29" s="184" t="s">
        <v>404</v>
      </c>
      <c r="C29" s="378">
        <v>50000</v>
      </c>
      <c r="D29" s="379">
        <v>50000</v>
      </c>
      <c r="E29" s="191">
        <v>48796</v>
      </c>
      <c r="F29" s="214">
        <f t="shared" si="1"/>
        <v>97.592</v>
      </c>
    </row>
    <row r="30" spans="1:6" ht="15" customHeight="1">
      <c r="A30" s="182" t="s">
        <v>85</v>
      </c>
      <c r="B30" s="184" t="s">
        <v>315</v>
      </c>
      <c r="C30" s="378">
        <v>9800</v>
      </c>
      <c r="D30" s="379">
        <v>9800</v>
      </c>
      <c r="E30" s="191">
        <v>6078</v>
      </c>
      <c r="F30" s="214">
        <f t="shared" si="1"/>
        <v>62.02040816326531</v>
      </c>
    </row>
    <row r="31" spans="1:6" ht="15" customHeight="1">
      <c r="A31" s="182" t="s">
        <v>86</v>
      </c>
      <c r="B31" s="184" t="s">
        <v>405</v>
      </c>
      <c r="C31" s="378">
        <v>563</v>
      </c>
      <c r="D31" s="379">
        <v>563</v>
      </c>
      <c r="E31" s="191"/>
      <c r="F31" s="214">
        <f t="shared" si="1"/>
        <v>0</v>
      </c>
    </row>
    <row r="32" spans="1:6" ht="15" customHeight="1">
      <c r="A32" s="182" t="s">
        <v>87</v>
      </c>
      <c r="B32" s="184" t="s">
        <v>485</v>
      </c>
      <c r="C32" s="378">
        <v>42000</v>
      </c>
      <c r="D32" s="379">
        <v>42000</v>
      </c>
      <c r="E32" s="191">
        <v>22</v>
      </c>
      <c r="F32" s="214">
        <f t="shared" si="1"/>
        <v>0.05238095238095238</v>
      </c>
    </row>
    <row r="33" spans="1:6" ht="15" customHeight="1">
      <c r="A33" s="182" t="s">
        <v>88</v>
      </c>
      <c r="B33" s="184" t="s">
        <v>406</v>
      </c>
      <c r="C33" s="191"/>
      <c r="D33" s="219">
        <v>602115</v>
      </c>
      <c r="E33" s="378">
        <v>602115</v>
      </c>
      <c r="F33" s="214">
        <f t="shared" si="1"/>
        <v>100</v>
      </c>
    </row>
    <row r="34" spans="1:6" ht="15" customHeight="1">
      <c r="A34" s="182" t="s">
        <v>117</v>
      </c>
      <c r="B34" s="184" t="s">
        <v>407</v>
      </c>
      <c r="C34" s="191"/>
      <c r="D34" s="219">
        <v>18000</v>
      </c>
      <c r="E34" s="191">
        <v>15499</v>
      </c>
      <c r="F34" s="214">
        <f t="shared" si="1"/>
        <v>86.10555555555555</v>
      </c>
    </row>
    <row r="35" spans="1:6" ht="15" customHeight="1">
      <c r="A35" s="182" t="s">
        <v>119</v>
      </c>
      <c r="B35" s="184" t="s">
        <v>408</v>
      </c>
      <c r="C35" s="191"/>
      <c r="D35" s="219">
        <v>320</v>
      </c>
      <c r="E35" s="191"/>
      <c r="F35" s="214">
        <f t="shared" si="1"/>
        <v>0</v>
      </c>
    </row>
    <row r="36" spans="1:6" ht="15" customHeight="1">
      <c r="A36" s="182" t="s">
        <v>121</v>
      </c>
      <c r="B36" s="184" t="s">
        <v>409</v>
      </c>
      <c r="C36" s="191"/>
      <c r="D36" s="219">
        <v>719594</v>
      </c>
      <c r="E36" s="378">
        <f>4728+4600</f>
        <v>9328</v>
      </c>
      <c r="F36" s="214">
        <f t="shared" si="1"/>
        <v>1.2962865171193756</v>
      </c>
    </row>
    <row r="37" spans="1:6" ht="15" customHeight="1">
      <c r="A37" s="182" t="s">
        <v>123</v>
      </c>
      <c r="B37" s="184" t="s">
        <v>486</v>
      </c>
      <c r="C37" s="191"/>
      <c r="D37" s="219">
        <f>1050+10000</f>
        <v>11050</v>
      </c>
      <c r="E37" s="191">
        <v>6193</v>
      </c>
      <c r="F37" s="214">
        <f t="shared" si="1"/>
        <v>56.04524886877829</v>
      </c>
    </row>
    <row r="38" spans="1:6" ht="15" customHeight="1">
      <c r="A38" s="182" t="s">
        <v>125</v>
      </c>
      <c r="B38" s="184" t="s">
        <v>410</v>
      </c>
      <c r="C38" s="191"/>
      <c r="D38" s="383">
        <v>53489</v>
      </c>
      <c r="E38" s="191"/>
      <c r="F38" s="214">
        <f t="shared" si="1"/>
        <v>0</v>
      </c>
    </row>
    <row r="39" spans="1:6" ht="15" customHeight="1">
      <c r="A39" s="182" t="s">
        <v>127</v>
      </c>
      <c r="B39" s="184" t="s">
        <v>411</v>
      </c>
      <c r="C39" s="191"/>
      <c r="D39" s="383">
        <v>6611</v>
      </c>
      <c r="E39" s="381"/>
      <c r="F39" s="214">
        <f t="shared" si="1"/>
        <v>0</v>
      </c>
    </row>
    <row r="40" spans="1:6" ht="15" customHeight="1">
      <c r="A40" s="182" t="s">
        <v>129</v>
      </c>
      <c r="B40" s="184" t="s">
        <v>412</v>
      </c>
      <c r="C40" s="384"/>
      <c r="D40" s="383">
        <v>1400</v>
      </c>
      <c r="E40" s="191"/>
      <c r="F40" s="214">
        <f t="shared" si="1"/>
        <v>0</v>
      </c>
    </row>
    <row r="41" spans="1:6" ht="15" customHeight="1">
      <c r="A41" s="182" t="s">
        <v>131</v>
      </c>
      <c r="B41" s="184" t="s">
        <v>454</v>
      </c>
      <c r="C41" s="191"/>
      <c r="D41" s="219">
        <v>2200</v>
      </c>
      <c r="E41" s="191">
        <v>7229</v>
      </c>
      <c r="F41" s="214">
        <f t="shared" si="1"/>
        <v>328.5909090909091</v>
      </c>
    </row>
    <row r="42" spans="1:6" ht="15" customHeight="1">
      <c r="A42" s="182" t="s">
        <v>133</v>
      </c>
      <c r="B42" s="184" t="s">
        <v>480</v>
      </c>
      <c r="C42" s="191"/>
      <c r="D42" s="219">
        <v>17966</v>
      </c>
      <c r="E42" s="191">
        <v>5390</v>
      </c>
      <c r="F42" s="214"/>
    </row>
    <row r="43" spans="1:6" ht="15" customHeight="1">
      <c r="A43" s="182" t="s">
        <v>134</v>
      </c>
      <c r="B43" s="184" t="s">
        <v>481</v>
      </c>
      <c r="C43" s="191"/>
      <c r="D43" s="219">
        <v>211</v>
      </c>
      <c r="E43" s="191">
        <v>211</v>
      </c>
      <c r="F43" s="214"/>
    </row>
    <row r="44" spans="1:6" ht="15" customHeight="1">
      <c r="A44" s="182" t="s">
        <v>135</v>
      </c>
      <c r="B44" s="184"/>
      <c r="C44" s="192"/>
      <c r="D44" s="220"/>
      <c r="E44" s="191"/>
      <c r="F44" s="214"/>
    </row>
    <row r="45" spans="1:6" ht="15" customHeight="1">
      <c r="A45" s="182" t="s">
        <v>137</v>
      </c>
      <c r="B45" s="184"/>
      <c r="C45" s="191"/>
      <c r="D45" s="219"/>
      <c r="E45" s="191"/>
      <c r="F45" s="214"/>
    </row>
    <row r="46" spans="1:6" ht="15" customHeight="1">
      <c r="A46" s="182" t="s">
        <v>138</v>
      </c>
      <c r="B46" s="184"/>
      <c r="C46" s="191"/>
      <c r="D46" s="222"/>
      <c r="E46" s="191"/>
      <c r="F46" s="214"/>
    </row>
    <row r="47" spans="1:6" ht="15" customHeight="1">
      <c r="A47" s="182" t="s">
        <v>140</v>
      </c>
      <c r="B47" s="184"/>
      <c r="C47" s="192"/>
      <c r="D47" s="220"/>
      <c r="E47" s="191"/>
      <c r="F47" s="214"/>
    </row>
    <row r="48" spans="1:8" ht="15" customHeight="1" thickBot="1">
      <c r="A48" s="182" t="s">
        <v>142</v>
      </c>
      <c r="B48" s="185"/>
      <c r="C48" s="224"/>
      <c r="D48" s="225"/>
      <c r="E48" s="215"/>
      <c r="F48" s="216"/>
      <c r="H48" s="183"/>
    </row>
    <row r="49" spans="1:6" ht="15" customHeight="1" thickBot="1">
      <c r="A49" s="221" t="s">
        <v>143</v>
      </c>
      <c r="B49" s="389" t="s">
        <v>413</v>
      </c>
      <c r="C49" s="390">
        <f>SUM(C9:C48)</f>
        <v>2235672</v>
      </c>
      <c r="D49" s="391">
        <f>SUM(D9:D48)</f>
        <v>3668628</v>
      </c>
      <c r="E49" s="390">
        <f>SUM(E9:E48)</f>
        <v>1210399</v>
      </c>
      <c r="F49" s="240">
        <f>E49/D49*100</f>
        <v>32.99323343767752</v>
      </c>
    </row>
    <row r="50" spans="2:3" ht="12.75">
      <c r="B50" s="193"/>
      <c r="C50" s="194"/>
    </row>
    <row r="51" spans="2:7" ht="12.75">
      <c r="B51" s="193"/>
      <c r="C51" s="195"/>
      <c r="G51" s="183"/>
    </row>
    <row r="52" spans="2:3" ht="12.75">
      <c r="B52" s="193"/>
      <c r="C52" s="195"/>
    </row>
    <row r="53" spans="2:3" ht="12.75">
      <c r="B53" s="193"/>
      <c r="C53" s="195"/>
    </row>
    <row r="54" spans="2:3" ht="12.75">
      <c r="B54" s="193"/>
      <c r="C54" s="195"/>
    </row>
    <row r="55" spans="2:3" ht="12.75">
      <c r="B55" s="193"/>
      <c r="C55" s="195"/>
    </row>
    <row r="56" spans="2:3" ht="12.75">
      <c r="B56" s="193"/>
      <c r="C56" s="195"/>
    </row>
    <row r="57" spans="2:3" ht="12.75">
      <c r="B57" s="193"/>
      <c r="C57" s="195"/>
    </row>
    <row r="58" spans="2:3" ht="12.75">
      <c r="B58" s="193"/>
      <c r="C58" s="195"/>
    </row>
    <row r="59" spans="2:3" ht="12.75">
      <c r="B59" s="193"/>
      <c r="C59" s="195"/>
    </row>
    <row r="60" spans="2:3" ht="12.75">
      <c r="B60" s="193"/>
      <c r="C60" s="195"/>
    </row>
    <row r="61" spans="2:3" ht="12.75">
      <c r="B61" s="193"/>
      <c r="C61" s="195"/>
    </row>
    <row r="62" spans="2:3" ht="12.75">
      <c r="B62" s="193"/>
      <c r="C62" s="195"/>
    </row>
    <row r="63" spans="2:3" ht="12.75">
      <c r="B63" s="193"/>
      <c r="C63" s="195"/>
    </row>
    <row r="64" spans="2:3" ht="12.75">
      <c r="B64" s="193"/>
      <c r="C64" s="195"/>
    </row>
    <row r="65" spans="2:3" ht="12.75">
      <c r="B65" s="193"/>
      <c r="C65" s="195"/>
    </row>
    <row r="66" spans="2:3" ht="12.75">
      <c r="B66" s="193"/>
      <c r="C66" s="195"/>
    </row>
    <row r="67" spans="2:4" ht="15">
      <c r="B67" s="541" t="s">
        <v>414</v>
      </c>
      <c r="C67" s="541"/>
      <c r="D67" s="541"/>
    </row>
    <row r="68" spans="2:4" ht="15">
      <c r="B68" s="188"/>
      <c r="C68" s="188"/>
      <c r="D68" s="188"/>
    </row>
    <row r="69" spans="2:4" ht="15">
      <c r="B69" s="188"/>
      <c r="C69" s="188"/>
      <c r="D69" s="188"/>
    </row>
    <row r="70" spans="2:4" ht="15">
      <c r="B70" s="188"/>
      <c r="C70" s="188"/>
      <c r="D70" s="188"/>
    </row>
    <row r="71" spans="2:4" ht="15">
      <c r="B71" s="188"/>
      <c r="C71" s="188"/>
      <c r="D71" s="188"/>
    </row>
    <row r="72" spans="2:4" ht="13.5" thickBot="1">
      <c r="B72" s="196"/>
      <c r="C72" s="542" t="s">
        <v>90</v>
      </c>
      <c r="D72" s="542"/>
    </row>
    <row r="73" spans="1:6" ht="13.5" thickBot="1">
      <c r="A73" s="181"/>
      <c r="B73" s="187" t="s">
        <v>1</v>
      </c>
      <c r="C73" s="189" t="s">
        <v>2</v>
      </c>
      <c r="D73" s="218" t="s">
        <v>56</v>
      </c>
      <c r="E73" s="236" t="s">
        <v>57</v>
      </c>
      <c r="F73" s="237" t="s">
        <v>58</v>
      </c>
    </row>
    <row r="74" spans="1:6" ht="24.75" customHeight="1" thickBot="1">
      <c r="A74" s="190"/>
      <c r="B74" s="227" t="s">
        <v>415</v>
      </c>
      <c r="C74" s="238" t="s">
        <v>382</v>
      </c>
      <c r="D74" s="239" t="s">
        <v>383</v>
      </c>
      <c r="E74" s="228" t="s">
        <v>493</v>
      </c>
      <c r="F74" s="229" t="s">
        <v>453</v>
      </c>
    </row>
    <row r="75" spans="1:6" ht="15" customHeight="1">
      <c r="A75" s="182" t="s">
        <v>144</v>
      </c>
      <c r="B75" s="385" t="s">
        <v>416</v>
      </c>
      <c r="C75" s="386">
        <v>39760</v>
      </c>
      <c r="D75" s="387">
        <v>39760</v>
      </c>
      <c r="E75" s="191">
        <v>2805</v>
      </c>
      <c r="F75" s="226">
        <f>(E75/D75)*100</f>
        <v>7.054828973843058</v>
      </c>
    </row>
    <row r="76" spans="1:6" ht="15" customHeight="1">
      <c r="A76" s="182" t="s">
        <v>145</v>
      </c>
      <c r="B76" s="184" t="s">
        <v>417</v>
      </c>
      <c r="C76" s="191"/>
      <c r="D76" s="219"/>
      <c r="E76" s="191"/>
      <c r="F76" s="214"/>
    </row>
    <row r="77" spans="1:6" ht="15" customHeight="1">
      <c r="A77" s="182" t="s">
        <v>146</v>
      </c>
      <c r="B77" s="380" t="s">
        <v>418</v>
      </c>
      <c r="C77" s="191">
        <v>732640</v>
      </c>
      <c r="D77" s="219">
        <v>732640</v>
      </c>
      <c r="E77" s="378">
        <v>336962</v>
      </c>
      <c r="F77" s="214">
        <f>E77/D77*100</f>
        <v>45.99284778335881</v>
      </c>
    </row>
    <row r="78" spans="1:6" ht="15" customHeight="1">
      <c r="A78" s="182" t="s">
        <v>148</v>
      </c>
      <c r="B78" s="380" t="s">
        <v>419</v>
      </c>
      <c r="C78" s="191">
        <v>183160</v>
      </c>
      <c r="D78" s="219">
        <v>183160</v>
      </c>
      <c r="E78" s="378">
        <v>116295</v>
      </c>
      <c r="F78" s="214">
        <f aca="true" t="shared" si="2" ref="F78:F106">(E78/D78)*100</f>
        <v>63.49366673946276</v>
      </c>
    </row>
    <row r="79" spans="1:6" ht="15" customHeight="1">
      <c r="A79" s="182" t="s">
        <v>150</v>
      </c>
      <c r="B79" s="380" t="s">
        <v>420</v>
      </c>
      <c r="C79" s="191">
        <v>8660</v>
      </c>
      <c r="D79" s="219">
        <v>8660</v>
      </c>
      <c r="E79" s="378">
        <v>8410</v>
      </c>
      <c r="F79" s="214">
        <f t="shared" si="2"/>
        <v>97.11316397228637</v>
      </c>
    </row>
    <row r="80" spans="1:6" ht="15" customHeight="1">
      <c r="A80" s="182" t="s">
        <v>152</v>
      </c>
      <c r="B80" s="380" t="s">
        <v>421</v>
      </c>
      <c r="C80" s="191">
        <v>165080</v>
      </c>
      <c r="D80" s="219">
        <v>165080</v>
      </c>
      <c r="E80" s="378"/>
      <c r="F80" s="214">
        <f t="shared" si="2"/>
        <v>0</v>
      </c>
    </row>
    <row r="81" spans="1:6" ht="15" customHeight="1">
      <c r="A81" s="182" t="s">
        <v>154</v>
      </c>
      <c r="B81" s="184" t="s">
        <v>395</v>
      </c>
      <c r="C81" s="191">
        <v>63114</v>
      </c>
      <c r="D81" s="219">
        <v>63114</v>
      </c>
      <c r="E81" s="378">
        <v>62986</v>
      </c>
      <c r="F81" s="214">
        <f t="shared" si="2"/>
        <v>99.79719238203884</v>
      </c>
    </row>
    <row r="82" spans="1:6" ht="15" customHeight="1">
      <c r="A82" s="182" t="s">
        <v>156</v>
      </c>
      <c r="B82" s="380" t="s">
        <v>422</v>
      </c>
      <c r="C82" s="191">
        <v>108557</v>
      </c>
      <c r="D82" s="219">
        <v>108557</v>
      </c>
      <c r="E82" s="191"/>
      <c r="F82" s="214">
        <f t="shared" si="2"/>
        <v>0</v>
      </c>
    </row>
    <row r="83" spans="1:6" ht="15" customHeight="1">
      <c r="A83" s="182" t="s">
        <v>158</v>
      </c>
      <c r="B83" s="184" t="s">
        <v>423</v>
      </c>
      <c r="C83" s="191">
        <f>20000+10325-1000</f>
        <v>29325</v>
      </c>
      <c r="D83" s="219">
        <f>20000+10325-1000</f>
        <v>29325</v>
      </c>
      <c r="E83" s="191">
        <v>100</v>
      </c>
      <c r="F83" s="214">
        <f t="shared" si="2"/>
        <v>0.3410059676044331</v>
      </c>
    </row>
    <row r="84" spans="1:6" ht="15" customHeight="1">
      <c r="A84" s="182" t="s">
        <v>160</v>
      </c>
      <c r="B84" s="380" t="s">
        <v>424</v>
      </c>
      <c r="C84" s="191">
        <v>625831</v>
      </c>
      <c r="D84" s="219">
        <v>625831</v>
      </c>
      <c r="E84" s="378">
        <v>121392</v>
      </c>
      <c r="F84" s="214">
        <f t="shared" si="2"/>
        <v>19.396929842081967</v>
      </c>
    </row>
    <row r="85" spans="1:6" ht="15" customHeight="1">
      <c r="A85" s="182" t="s">
        <v>162</v>
      </c>
      <c r="B85" s="380" t="s">
        <v>425</v>
      </c>
      <c r="C85" s="191">
        <v>8000</v>
      </c>
      <c r="D85" s="219">
        <v>8000</v>
      </c>
      <c r="E85" s="191"/>
      <c r="F85" s="214">
        <f t="shared" si="2"/>
        <v>0</v>
      </c>
    </row>
    <row r="86" spans="1:6" ht="15" customHeight="1">
      <c r="A86" s="182" t="s">
        <v>164</v>
      </c>
      <c r="B86" s="380" t="s">
        <v>426</v>
      </c>
      <c r="C86" s="191">
        <v>10000</v>
      </c>
      <c r="D86" s="219">
        <v>10000</v>
      </c>
      <c r="E86" s="191"/>
      <c r="F86" s="214">
        <f t="shared" si="2"/>
        <v>0</v>
      </c>
    </row>
    <row r="87" spans="1:6" ht="15" customHeight="1">
      <c r="A87" s="182" t="s">
        <v>165</v>
      </c>
      <c r="B87" s="184" t="s">
        <v>427</v>
      </c>
      <c r="C87" s="191">
        <v>35000</v>
      </c>
      <c r="D87" s="219">
        <v>35000</v>
      </c>
      <c r="E87" s="378">
        <v>894</v>
      </c>
      <c r="F87" s="214">
        <f t="shared" si="2"/>
        <v>2.5542857142857143</v>
      </c>
    </row>
    <row r="88" spans="1:6" ht="15" customHeight="1">
      <c r="A88" s="182" t="s">
        <v>167</v>
      </c>
      <c r="B88" s="184" t="s">
        <v>428</v>
      </c>
      <c r="C88" s="191">
        <v>8750</v>
      </c>
      <c r="D88" s="219">
        <v>8750</v>
      </c>
      <c r="E88" s="378">
        <v>2148</v>
      </c>
      <c r="F88" s="214">
        <f t="shared" si="2"/>
        <v>24.548571428571428</v>
      </c>
    </row>
    <row r="89" spans="1:6" ht="15" customHeight="1">
      <c r="A89" s="182" t="s">
        <v>171</v>
      </c>
      <c r="B89" s="184" t="s">
        <v>429</v>
      </c>
      <c r="C89" s="191">
        <v>12436</v>
      </c>
      <c r="D89" s="219">
        <v>12436</v>
      </c>
      <c r="E89" s="378">
        <v>9949</v>
      </c>
      <c r="F89" s="214">
        <f t="shared" si="2"/>
        <v>80.0016082341589</v>
      </c>
    </row>
    <row r="90" spans="1:6" ht="15" customHeight="1">
      <c r="A90" s="182" t="s">
        <v>173</v>
      </c>
      <c r="B90" s="184" t="s">
        <v>430</v>
      </c>
      <c r="C90" s="191">
        <v>1000</v>
      </c>
      <c r="D90" s="219">
        <v>1000</v>
      </c>
      <c r="E90" s="191"/>
      <c r="F90" s="214">
        <f t="shared" si="2"/>
        <v>0</v>
      </c>
    </row>
    <row r="91" spans="1:6" ht="15" customHeight="1">
      <c r="A91" s="182" t="s">
        <v>175</v>
      </c>
      <c r="B91" s="184" t="s">
        <v>431</v>
      </c>
      <c r="C91" s="191">
        <v>800</v>
      </c>
      <c r="D91" s="219">
        <v>800</v>
      </c>
      <c r="E91" s="191"/>
      <c r="F91" s="214">
        <f t="shared" si="2"/>
        <v>0</v>
      </c>
    </row>
    <row r="92" spans="1:6" ht="15" customHeight="1">
      <c r="A92" s="182" t="s">
        <v>177</v>
      </c>
      <c r="B92" s="184" t="s">
        <v>432</v>
      </c>
      <c r="C92" s="191">
        <v>8000</v>
      </c>
      <c r="D92" s="219">
        <v>8000</v>
      </c>
      <c r="E92" s="191">
        <v>2486</v>
      </c>
      <c r="F92" s="214">
        <f t="shared" si="2"/>
        <v>31.075000000000003</v>
      </c>
    </row>
    <row r="93" spans="1:6" ht="15" customHeight="1">
      <c r="A93" s="182" t="s">
        <v>179</v>
      </c>
      <c r="B93" s="184" t="s">
        <v>433</v>
      </c>
      <c r="C93" s="191">
        <v>90187</v>
      </c>
      <c r="D93" s="219">
        <v>90187</v>
      </c>
      <c r="E93" s="191">
        <v>67639</v>
      </c>
      <c r="F93" s="214">
        <f t="shared" si="2"/>
        <v>74.99861399092995</v>
      </c>
    </row>
    <row r="94" spans="1:6" ht="15" customHeight="1">
      <c r="A94" s="182" t="s">
        <v>181</v>
      </c>
      <c r="B94" s="184" t="s">
        <v>434</v>
      </c>
      <c r="C94" s="191">
        <v>2009</v>
      </c>
      <c r="D94" s="219">
        <v>2009</v>
      </c>
      <c r="E94" s="191">
        <v>1493</v>
      </c>
      <c r="F94" s="214">
        <f t="shared" si="2"/>
        <v>74.31557989049278</v>
      </c>
    </row>
    <row r="95" spans="1:6" ht="15" customHeight="1">
      <c r="A95" s="182" t="s">
        <v>183</v>
      </c>
      <c r="B95" s="184" t="s">
        <v>314</v>
      </c>
      <c r="C95" s="191">
        <v>50000</v>
      </c>
      <c r="D95" s="219">
        <v>50000</v>
      </c>
      <c r="E95" s="191">
        <v>89757</v>
      </c>
      <c r="F95" s="214">
        <f t="shared" si="2"/>
        <v>179.514</v>
      </c>
    </row>
    <row r="96" spans="1:6" ht="15" customHeight="1">
      <c r="A96" s="182" t="s">
        <v>185</v>
      </c>
      <c r="B96" s="184" t="s">
        <v>313</v>
      </c>
      <c r="C96" s="191">
        <v>5000</v>
      </c>
      <c r="D96" s="219">
        <v>5000</v>
      </c>
      <c r="E96" s="191">
        <v>1800</v>
      </c>
      <c r="F96" s="214">
        <f t="shared" si="2"/>
        <v>36</v>
      </c>
    </row>
    <row r="97" spans="1:6" ht="15" customHeight="1">
      <c r="A97" s="182" t="s">
        <v>187</v>
      </c>
      <c r="B97" s="184" t="s">
        <v>435</v>
      </c>
      <c r="C97" s="191">
        <v>563</v>
      </c>
      <c r="D97" s="219">
        <v>563</v>
      </c>
      <c r="E97" s="191"/>
      <c r="F97" s="214">
        <f t="shared" si="2"/>
        <v>0</v>
      </c>
    </row>
    <row r="98" spans="1:6" ht="15" customHeight="1">
      <c r="A98" s="182" t="s">
        <v>189</v>
      </c>
      <c r="B98" s="184" t="s">
        <v>436</v>
      </c>
      <c r="C98" s="191">
        <v>42000</v>
      </c>
      <c r="D98" s="219">
        <f>42000+602115</f>
        <v>644115</v>
      </c>
      <c r="E98" s="191">
        <v>25739</v>
      </c>
      <c r="F98" s="214">
        <f t="shared" si="2"/>
        <v>3.9960255544429177</v>
      </c>
    </row>
    <row r="99" spans="1:6" ht="15" customHeight="1">
      <c r="A99" s="182" t="s">
        <v>191</v>
      </c>
      <c r="B99" s="184" t="s">
        <v>437</v>
      </c>
      <c r="C99" s="191">
        <v>1000</v>
      </c>
      <c r="D99" s="219">
        <v>1000</v>
      </c>
      <c r="E99" s="191">
        <v>263</v>
      </c>
      <c r="F99" s="214">
        <f t="shared" si="2"/>
        <v>26.3</v>
      </c>
    </row>
    <row r="100" spans="1:6" ht="15" customHeight="1">
      <c r="A100" s="182" t="s">
        <v>193</v>
      </c>
      <c r="B100" s="184" t="s">
        <v>438</v>
      </c>
      <c r="C100" s="191"/>
      <c r="D100" s="219">
        <v>18000</v>
      </c>
      <c r="E100" s="191">
        <v>17909</v>
      </c>
      <c r="F100" s="214">
        <f t="shared" si="2"/>
        <v>99.49444444444444</v>
      </c>
    </row>
    <row r="101" spans="1:6" ht="15" customHeight="1">
      <c r="A101" s="182" t="s">
        <v>195</v>
      </c>
      <c r="B101" s="184" t="s">
        <v>439</v>
      </c>
      <c r="C101" s="191"/>
      <c r="D101" s="219">
        <v>320</v>
      </c>
      <c r="E101" s="191"/>
      <c r="F101" s="214">
        <f t="shared" si="2"/>
        <v>0</v>
      </c>
    </row>
    <row r="102" spans="1:6" ht="15" customHeight="1">
      <c r="A102" s="182" t="s">
        <v>197</v>
      </c>
      <c r="B102" s="184" t="s">
        <v>440</v>
      </c>
      <c r="C102" s="191"/>
      <c r="D102" s="219">
        <f>719594-4492</f>
        <v>715102</v>
      </c>
      <c r="E102" s="378"/>
      <c r="F102" s="214">
        <f t="shared" si="2"/>
        <v>0</v>
      </c>
    </row>
    <row r="103" spans="1:6" ht="15" customHeight="1">
      <c r="A103" s="182" t="s">
        <v>199</v>
      </c>
      <c r="B103" s="184" t="s">
        <v>441</v>
      </c>
      <c r="C103" s="191"/>
      <c r="D103" s="219">
        <v>60100</v>
      </c>
      <c r="E103" s="378">
        <v>700</v>
      </c>
      <c r="F103" s="214">
        <f t="shared" si="2"/>
        <v>1.1647254575707155</v>
      </c>
    </row>
    <row r="104" spans="1:6" ht="15" customHeight="1">
      <c r="A104" s="182" t="s">
        <v>201</v>
      </c>
      <c r="B104" s="184" t="s">
        <v>484</v>
      </c>
      <c r="C104" s="191"/>
      <c r="D104" s="219">
        <v>1050</v>
      </c>
      <c r="E104" s="378"/>
      <c r="F104" s="214">
        <f t="shared" si="2"/>
        <v>0</v>
      </c>
    </row>
    <row r="105" spans="1:6" ht="15" customHeight="1">
      <c r="A105" s="182" t="s">
        <v>203</v>
      </c>
      <c r="B105" s="184" t="s">
        <v>442</v>
      </c>
      <c r="C105" s="191"/>
      <c r="D105" s="383">
        <v>1400</v>
      </c>
      <c r="E105" s="191">
        <v>5692</v>
      </c>
      <c r="F105" s="214">
        <f t="shared" si="2"/>
        <v>406.57142857142856</v>
      </c>
    </row>
    <row r="106" spans="1:6" ht="15" customHeight="1">
      <c r="A106" s="182" t="s">
        <v>205</v>
      </c>
      <c r="B106" s="184" t="s">
        <v>461</v>
      </c>
      <c r="C106" s="191"/>
      <c r="D106" s="383">
        <v>2200</v>
      </c>
      <c r="E106" s="191">
        <v>3341</v>
      </c>
      <c r="F106" s="214">
        <f t="shared" si="2"/>
        <v>151.86363636363635</v>
      </c>
    </row>
    <row r="107" spans="1:6" ht="15" customHeight="1">
      <c r="A107" s="182" t="s">
        <v>207</v>
      </c>
      <c r="B107" s="184" t="s">
        <v>482</v>
      </c>
      <c r="C107" s="191"/>
      <c r="D107" s="219">
        <v>22458</v>
      </c>
      <c r="E107" s="191"/>
      <c r="F107" s="214"/>
    </row>
    <row r="108" spans="1:6" ht="15" customHeight="1">
      <c r="A108" s="182" t="s">
        <v>208</v>
      </c>
      <c r="B108" s="184" t="s">
        <v>483</v>
      </c>
      <c r="C108" s="197"/>
      <c r="D108" s="219">
        <v>211</v>
      </c>
      <c r="E108" s="191">
        <v>209</v>
      </c>
      <c r="F108" s="214"/>
    </row>
    <row r="109" spans="1:6" ht="15" customHeight="1">
      <c r="A109" s="182" t="s">
        <v>210</v>
      </c>
      <c r="B109" s="184" t="s">
        <v>490</v>
      </c>
      <c r="C109" s="197"/>
      <c r="D109" s="219"/>
      <c r="E109" s="191">
        <v>203</v>
      </c>
      <c r="F109" s="214"/>
    </row>
    <row r="110" spans="1:6" ht="15" customHeight="1">
      <c r="A110" s="182" t="s">
        <v>212</v>
      </c>
      <c r="B110" s="184" t="s">
        <v>491</v>
      </c>
      <c r="C110" s="197"/>
      <c r="D110" s="219"/>
      <c r="E110" s="191">
        <v>584</v>
      </c>
      <c r="F110" s="214"/>
    </row>
    <row r="111" spans="1:6" ht="15" customHeight="1">
      <c r="A111" s="182" t="s">
        <v>214</v>
      </c>
      <c r="B111" s="184" t="s">
        <v>492</v>
      </c>
      <c r="C111" s="197"/>
      <c r="D111" s="219"/>
      <c r="E111" s="191">
        <v>600</v>
      </c>
      <c r="F111" s="214"/>
    </row>
    <row r="112" spans="1:6" ht="15" customHeight="1">
      <c r="A112" s="182" t="s">
        <v>216</v>
      </c>
      <c r="B112" s="184"/>
      <c r="C112" s="197"/>
      <c r="D112" s="219"/>
      <c r="E112" s="191"/>
      <c r="F112" s="217"/>
    </row>
    <row r="113" spans="1:6" ht="15" customHeight="1" thickBot="1">
      <c r="A113" s="182" t="s">
        <v>218</v>
      </c>
      <c r="B113" s="185"/>
      <c r="C113" s="215"/>
      <c r="D113" s="222"/>
      <c r="E113" s="388"/>
      <c r="F113" s="223"/>
    </row>
    <row r="114" spans="1:6" ht="15" customHeight="1" thickBot="1">
      <c r="A114" s="221" t="s">
        <v>220</v>
      </c>
      <c r="B114" s="392" t="s">
        <v>413</v>
      </c>
      <c r="C114" s="393">
        <f>SUM(C74:C113)</f>
        <v>2230872</v>
      </c>
      <c r="D114" s="394">
        <f>SUM(D74:D113)</f>
        <v>3653828</v>
      </c>
      <c r="E114" s="393">
        <f>SUM(E75:E113)</f>
        <v>880356</v>
      </c>
      <c r="F114" s="240">
        <f>(E114/D114)*100</f>
        <v>24.09407339371202</v>
      </c>
    </row>
    <row r="115" ht="12.75" customHeight="1">
      <c r="C115" s="194"/>
    </row>
    <row r="116" spans="3:7" ht="12.75" customHeight="1">
      <c r="C116" s="186"/>
      <c r="G116" s="183"/>
    </row>
    <row r="118" ht="12.75" customHeight="1"/>
  </sheetData>
  <sheetProtection selectLockedCells="1" selectUnlockedCells="1"/>
  <mergeCells count="4">
    <mergeCell ref="B1:D1"/>
    <mergeCell ref="C6:D6"/>
    <mergeCell ref="B67:D67"/>
    <mergeCell ref="C72:D72"/>
  </mergeCells>
  <printOptions horizontalCentered="1"/>
  <pageMargins left="0.39375" right="0.39375" top="0.5902777777777778" bottom="0.19652777777777777" header="0.39375" footer="0.5118055555555555"/>
  <pageSetup horizontalDpi="300" verticalDpi="300" orientation="portrait" paperSize="9" scale="84" r:id="rId1"/>
  <headerFooter alignWithMargins="0">
    <oddHeader>&amp;L&amp;8 10. melléklet a ..../.....(.....)önkormányzati 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M37"/>
  <sheetViews>
    <sheetView workbookViewId="0" topLeftCell="B1">
      <selection activeCell="B26" sqref="B26"/>
    </sheetView>
  </sheetViews>
  <sheetFormatPr defaultColWidth="9.00390625" defaultRowHeight="12.75"/>
  <cols>
    <col min="1" max="1" width="3.875" style="30" customWidth="1"/>
    <col min="2" max="2" width="4.875" style="30" customWidth="1"/>
    <col min="3" max="3" width="32.375" style="30" customWidth="1"/>
    <col min="4" max="4" width="8.75390625" style="30" customWidth="1"/>
    <col min="5" max="5" width="8.625" style="30" customWidth="1"/>
    <col min="6" max="6" width="8.875" style="30" customWidth="1"/>
    <col min="7" max="7" width="8.625" style="30" customWidth="1"/>
    <col min="8" max="8" width="8.875" style="30" customWidth="1"/>
    <col min="9" max="9" width="8.75390625" style="30" customWidth="1"/>
    <col min="10" max="10" width="8.625" style="30" customWidth="1"/>
    <col min="11" max="11" width="8.375" style="30" customWidth="1"/>
    <col min="12" max="13" width="8.625" style="30" customWidth="1"/>
    <col min="14" max="16384" width="9.125" style="30" customWidth="1"/>
  </cols>
  <sheetData>
    <row r="1" spans="2:13" ht="31.5" customHeight="1">
      <c r="B1" s="534" t="s">
        <v>487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ht="15.75">
      <c r="C2" s="31"/>
    </row>
    <row r="3" ht="12.75">
      <c r="B3" s="32" t="s">
        <v>488</v>
      </c>
    </row>
    <row r="4" ht="13.5" thickBot="1">
      <c r="B4" s="32"/>
    </row>
    <row r="5" spans="1:13" ht="13.5" thickBot="1">
      <c r="A5" s="300"/>
      <c r="B5" s="303" t="s">
        <v>1</v>
      </c>
      <c r="C5" s="304" t="s">
        <v>55</v>
      </c>
      <c r="D5" s="304" t="s">
        <v>56</v>
      </c>
      <c r="E5" s="304" t="s">
        <v>57</v>
      </c>
      <c r="F5" s="304" t="s">
        <v>58</v>
      </c>
      <c r="G5" s="304" t="s">
        <v>59</v>
      </c>
      <c r="H5" s="304" t="s">
        <v>60</v>
      </c>
      <c r="I5" s="304" t="s">
        <v>61</v>
      </c>
      <c r="J5" s="304" t="s">
        <v>62</v>
      </c>
      <c r="K5" s="304" t="s">
        <v>63</v>
      </c>
      <c r="L5" s="332" t="s">
        <v>64</v>
      </c>
      <c r="M5" s="319" t="s">
        <v>264</v>
      </c>
    </row>
    <row r="6" spans="1:13" ht="24.75" customHeight="1" thickBot="1">
      <c r="A6" s="35"/>
      <c r="B6" s="291" t="s">
        <v>477</v>
      </c>
      <c r="C6" s="301" t="s">
        <v>4</v>
      </c>
      <c r="D6" s="36" t="s">
        <v>65</v>
      </c>
      <c r="E6" s="36" t="s">
        <v>66</v>
      </c>
      <c r="F6" s="36" t="s">
        <v>67</v>
      </c>
      <c r="G6" s="36" t="s">
        <v>68</v>
      </c>
      <c r="H6" s="36" t="s">
        <v>69</v>
      </c>
      <c r="I6" s="36" t="s">
        <v>70</v>
      </c>
      <c r="J6" s="36" t="s">
        <v>71</v>
      </c>
      <c r="K6" s="285" t="s">
        <v>72</v>
      </c>
      <c r="L6" s="333" t="s">
        <v>474</v>
      </c>
      <c r="M6" s="302" t="s">
        <v>473</v>
      </c>
    </row>
    <row r="7" spans="1:13" ht="12.75">
      <c r="A7" s="37" t="s">
        <v>5</v>
      </c>
      <c r="B7" s="292" t="s">
        <v>5</v>
      </c>
      <c r="C7" s="296" t="s">
        <v>6</v>
      </c>
      <c r="D7" s="38">
        <v>121</v>
      </c>
      <c r="E7" s="39">
        <v>120</v>
      </c>
      <c r="F7" s="38">
        <v>120</v>
      </c>
      <c r="G7" s="39">
        <v>120</v>
      </c>
      <c r="H7" s="39">
        <v>120</v>
      </c>
      <c r="I7" s="39">
        <v>120</v>
      </c>
      <c r="J7" s="39">
        <v>120</v>
      </c>
      <c r="K7" s="286">
        <v>120</v>
      </c>
      <c r="L7" s="334">
        <f>120-30</f>
        <v>90</v>
      </c>
      <c r="M7" s="327">
        <v>90</v>
      </c>
    </row>
    <row r="8" spans="1:13" ht="12.75">
      <c r="A8" s="37" t="s">
        <v>8</v>
      </c>
      <c r="B8" s="293" t="s">
        <v>8</v>
      </c>
      <c r="C8" s="208" t="s">
        <v>475</v>
      </c>
      <c r="D8" s="40">
        <v>118</v>
      </c>
      <c r="E8" s="41">
        <v>118</v>
      </c>
      <c r="F8" s="40">
        <v>110</v>
      </c>
      <c r="G8" s="41">
        <v>118</v>
      </c>
      <c r="H8" s="41">
        <v>118</v>
      </c>
      <c r="I8" s="41">
        <v>118</v>
      </c>
      <c r="J8" s="41">
        <v>118</v>
      </c>
      <c r="K8" s="42">
        <v>118</v>
      </c>
      <c r="L8" s="335">
        <v>118</v>
      </c>
      <c r="M8" s="328">
        <v>113</v>
      </c>
    </row>
    <row r="9" spans="1:13" ht="12.75">
      <c r="A9" s="37" t="s">
        <v>10</v>
      </c>
      <c r="B9" s="293" t="s">
        <v>10</v>
      </c>
      <c r="C9" s="208" t="s">
        <v>73</v>
      </c>
      <c r="D9" s="40">
        <v>105</v>
      </c>
      <c r="E9" s="41">
        <v>105</v>
      </c>
      <c r="F9" s="40">
        <v>95</v>
      </c>
      <c r="G9" s="41">
        <v>105</v>
      </c>
      <c r="H9" s="41">
        <v>105</v>
      </c>
      <c r="I9" s="41">
        <v>105</v>
      </c>
      <c r="J9" s="41">
        <v>105</v>
      </c>
      <c r="K9" s="42">
        <v>105</v>
      </c>
      <c r="L9" s="335">
        <v>105</v>
      </c>
      <c r="M9" s="328">
        <v>92</v>
      </c>
    </row>
    <row r="10" spans="1:13" ht="24" customHeight="1">
      <c r="A10" s="37" t="s">
        <v>12</v>
      </c>
      <c r="B10" s="293" t="s">
        <v>12</v>
      </c>
      <c r="C10" s="297" t="s">
        <v>74</v>
      </c>
      <c r="D10" s="40">
        <v>332</v>
      </c>
      <c r="E10" s="41">
        <v>341</v>
      </c>
      <c r="F10" s="40">
        <f aca="true" t="shared" si="0" ref="F10:L10">F37</f>
        <v>341</v>
      </c>
      <c r="G10" s="41">
        <f t="shared" si="0"/>
        <v>340</v>
      </c>
      <c r="H10" s="41">
        <f t="shared" si="0"/>
        <v>339</v>
      </c>
      <c r="I10" s="41">
        <f t="shared" si="0"/>
        <v>340</v>
      </c>
      <c r="J10" s="41">
        <f t="shared" si="0"/>
        <v>346</v>
      </c>
      <c r="K10" s="42">
        <f t="shared" si="0"/>
        <v>354</v>
      </c>
      <c r="L10" s="335">
        <f t="shared" si="0"/>
        <v>353</v>
      </c>
      <c r="M10" s="328">
        <v>353</v>
      </c>
    </row>
    <row r="11" spans="1:13" ht="14.25" customHeight="1">
      <c r="A11" s="37" t="s">
        <v>14</v>
      </c>
      <c r="B11" s="293" t="s">
        <v>14</v>
      </c>
      <c r="C11" s="208" t="s">
        <v>36</v>
      </c>
      <c r="D11" s="40">
        <v>13</v>
      </c>
      <c r="E11" s="41">
        <v>13</v>
      </c>
      <c r="F11" s="40">
        <v>13</v>
      </c>
      <c r="G11" s="41">
        <v>13</v>
      </c>
      <c r="H11" s="41">
        <v>13</v>
      </c>
      <c r="I11" s="41">
        <v>13</v>
      </c>
      <c r="J11" s="41">
        <v>13</v>
      </c>
      <c r="K11" s="42">
        <v>13</v>
      </c>
      <c r="L11" s="335">
        <v>13</v>
      </c>
      <c r="M11" s="328">
        <v>13</v>
      </c>
    </row>
    <row r="12" spans="1:13" ht="12.75">
      <c r="A12" s="37" t="s">
        <v>17</v>
      </c>
      <c r="B12" s="293" t="s">
        <v>17</v>
      </c>
      <c r="C12" s="208" t="s">
        <v>38</v>
      </c>
      <c r="D12" s="40">
        <v>16</v>
      </c>
      <c r="E12" s="41">
        <v>16</v>
      </c>
      <c r="F12" s="40">
        <v>16</v>
      </c>
      <c r="G12" s="41">
        <v>16</v>
      </c>
      <c r="H12" s="41">
        <v>16</v>
      </c>
      <c r="I12" s="41">
        <v>16</v>
      </c>
      <c r="J12" s="41">
        <v>16</v>
      </c>
      <c r="K12" s="42">
        <v>16</v>
      </c>
      <c r="L12" s="335">
        <v>16</v>
      </c>
      <c r="M12" s="328">
        <v>16</v>
      </c>
    </row>
    <row r="13" spans="1:13" ht="12.75">
      <c r="A13" s="37" t="s">
        <v>20</v>
      </c>
      <c r="B13" s="293" t="s">
        <v>20</v>
      </c>
      <c r="C13" s="208" t="s">
        <v>40</v>
      </c>
      <c r="D13" s="40">
        <v>65</v>
      </c>
      <c r="E13" s="41">
        <v>65</v>
      </c>
      <c r="F13" s="40">
        <v>65</v>
      </c>
      <c r="G13" s="41">
        <v>65</v>
      </c>
      <c r="H13" s="41">
        <v>65</v>
      </c>
      <c r="I13" s="41">
        <v>65</v>
      </c>
      <c r="J13" s="41">
        <v>65</v>
      </c>
      <c r="K13" s="42">
        <v>65</v>
      </c>
      <c r="L13" s="335">
        <v>65</v>
      </c>
      <c r="M13" s="328">
        <v>65</v>
      </c>
    </row>
    <row r="14" spans="1:13" ht="12.75">
      <c r="A14" s="37" t="s">
        <v>23</v>
      </c>
      <c r="B14" s="293" t="s">
        <v>23</v>
      </c>
      <c r="C14" s="208" t="s">
        <v>43</v>
      </c>
      <c r="D14" s="40"/>
      <c r="E14" s="41"/>
      <c r="F14" s="40"/>
      <c r="G14" s="41"/>
      <c r="H14" s="41"/>
      <c r="I14" s="41"/>
      <c r="J14" s="41"/>
      <c r="K14" s="42"/>
      <c r="L14" s="335"/>
      <c r="M14" s="328"/>
    </row>
    <row r="15" spans="1:13" ht="12.75">
      <c r="A15" s="37" t="s">
        <v>26</v>
      </c>
      <c r="B15" s="293" t="s">
        <v>26</v>
      </c>
      <c r="C15" s="208" t="s">
        <v>45</v>
      </c>
      <c r="D15" s="40">
        <v>882</v>
      </c>
      <c r="E15" s="41">
        <v>882</v>
      </c>
      <c r="F15" s="40">
        <v>762</v>
      </c>
      <c r="G15" s="41">
        <v>882</v>
      </c>
      <c r="H15" s="41">
        <v>882</v>
      </c>
      <c r="I15" s="41">
        <v>882</v>
      </c>
      <c r="J15" s="41">
        <v>882</v>
      </c>
      <c r="K15" s="42">
        <v>882</v>
      </c>
      <c r="L15" s="335">
        <v>882</v>
      </c>
      <c r="M15" s="328">
        <v>780</v>
      </c>
    </row>
    <row r="16" spans="1:13" ht="12.75">
      <c r="A16" s="37" t="s">
        <v>29</v>
      </c>
      <c r="B16" s="293" t="s">
        <v>29</v>
      </c>
      <c r="C16" s="208" t="s">
        <v>47</v>
      </c>
      <c r="D16" s="40">
        <v>28</v>
      </c>
      <c r="E16" s="41">
        <v>28</v>
      </c>
      <c r="F16" s="40">
        <v>28</v>
      </c>
      <c r="G16" s="41">
        <v>28</v>
      </c>
      <c r="H16" s="41">
        <v>28</v>
      </c>
      <c r="I16" s="41">
        <v>28</v>
      </c>
      <c r="J16" s="41">
        <v>28</v>
      </c>
      <c r="K16" s="42">
        <v>28</v>
      </c>
      <c r="L16" s="335">
        <v>28</v>
      </c>
      <c r="M16" s="328">
        <v>28</v>
      </c>
    </row>
    <row r="17" spans="1:13" ht="12.75">
      <c r="A17" s="37" t="s">
        <v>32</v>
      </c>
      <c r="B17" s="293" t="s">
        <v>32</v>
      </c>
      <c r="C17" s="208" t="s">
        <v>49</v>
      </c>
      <c r="D17" s="40">
        <v>96</v>
      </c>
      <c r="E17" s="41">
        <v>96</v>
      </c>
      <c r="F17" s="40">
        <v>96</v>
      </c>
      <c r="G17" s="41">
        <v>96</v>
      </c>
      <c r="H17" s="41">
        <v>96</v>
      </c>
      <c r="I17" s="41">
        <v>96</v>
      </c>
      <c r="J17" s="41">
        <v>96</v>
      </c>
      <c r="K17" s="42">
        <v>96</v>
      </c>
      <c r="L17" s="335">
        <v>96</v>
      </c>
      <c r="M17" s="328">
        <v>93</v>
      </c>
    </row>
    <row r="18" spans="1:13" ht="12.75">
      <c r="A18" s="37" t="s">
        <v>35</v>
      </c>
      <c r="B18" s="293"/>
      <c r="C18" s="208" t="s">
        <v>75</v>
      </c>
      <c r="D18" s="40"/>
      <c r="E18" s="41"/>
      <c r="F18" s="40">
        <v>385</v>
      </c>
      <c r="G18" s="41">
        <v>220</v>
      </c>
      <c r="H18" s="41">
        <v>220</v>
      </c>
      <c r="I18" s="41">
        <v>220</v>
      </c>
      <c r="J18" s="41">
        <v>220</v>
      </c>
      <c r="K18" s="42">
        <v>220</v>
      </c>
      <c r="L18" s="335">
        <v>220</v>
      </c>
      <c r="M18" s="328">
        <v>162</v>
      </c>
    </row>
    <row r="19" spans="1:13" ht="12.75">
      <c r="A19" s="37" t="s">
        <v>37</v>
      </c>
      <c r="B19" s="293"/>
      <c r="C19" s="208" t="s">
        <v>76</v>
      </c>
      <c r="D19" s="40"/>
      <c r="E19" s="41"/>
      <c r="F19" s="40"/>
      <c r="G19" s="41"/>
      <c r="H19" s="41"/>
      <c r="I19" s="42"/>
      <c r="J19" s="42"/>
      <c r="K19" s="287"/>
      <c r="L19" s="336"/>
      <c r="M19" s="320"/>
    </row>
    <row r="20" spans="1:13" ht="12.75">
      <c r="A20" s="37" t="s">
        <v>39</v>
      </c>
      <c r="B20" s="293"/>
      <c r="C20" s="298" t="s">
        <v>77</v>
      </c>
      <c r="D20" s="40"/>
      <c r="E20" s="41"/>
      <c r="F20" s="40"/>
      <c r="G20" s="41"/>
      <c r="H20" s="41"/>
      <c r="I20" s="42"/>
      <c r="J20" s="42"/>
      <c r="K20" s="287"/>
      <c r="L20" s="336"/>
      <c r="M20" s="320"/>
    </row>
    <row r="21" spans="1:13" ht="13.5" thickBot="1">
      <c r="A21" s="37" t="s">
        <v>41</v>
      </c>
      <c r="B21" s="294"/>
      <c r="C21" s="210"/>
      <c r="D21" s="43"/>
      <c r="E21" s="44"/>
      <c r="F21" s="45"/>
      <c r="G21" s="44"/>
      <c r="H21" s="44"/>
      <c r="I21" s="46"/>
      <c r="J21" s="46"/>
      <c r="K21" s="200"/>
      <c r="L21" s="337"/>
      <c r="M21" s="321"/>
    </row>
    <row r="22" spans="1:13" ht="15.75" thickBot="1">
      <c r="A22" s="288" t="s">
        <v>44</v>
      </c>
      <c r="B22" s="295"/>
      <c r="C22" s="299" t="s">
        <v>78</v>
      </c>
      <c r="D22" s="289">
        <f>SUM(D7:D17)</f>
        <v>1776</v>
      </c>
      <c r="E22" s="289">
        <f>SUM(E7:E17)</f>
        <v>1784</v>
      </c>
      <c r="F22" s="289">
        <f>SUM(F7:F21)</f>
        <v>2031</v>
      </c>
      <c r="G22" s="289">
        <f>SUM(G7:G18)</f>
        <v>2003</v>
      </c>
      <c r="H22" s="289">
        <f>SUM(H7:H18)</f>
        <v>2002</v>
      </c>
      <c r="I22" s="289">
        <f>SUM(I7:I18)</f>
        <v>2003</v>
      </c>
      <c r="J22" s="289">
        <f>SUM(J7:J18)</f>
        <v>2009</v>
      </c>
      <c r="K22" s="290">
        <f>SUM(K7:K18)</f>
        <v>2017</v>
      </c>
      <c r="L22" s="338">
        <f>SUM(L7:L18)</f>
        <v>1986</v>
      </c>
      <c r="M22" s="322">
        <f>SUM(M7:M18)</f>
        <v>1805</v>
      </c>
    </row>
    <row r="23" spans="2:13" ht="12.75">
      <c r="B23" s="48"/>
      <c r="L23" s="323"/>
      <c r="M23" s="323"/>
    </row>
    <row r="24" spans="2:13" ht="12.75">
      <c r="B24" s="48"/>
      <c r="L24" s="323"/>
      <c r="M24" s="323"/>
    </row>
    <row r="25" spans="2:13" ht="12.75">
      <c r="B25" s="32" t="s">
        <v>489</v>
      </c>
      <c r="L25" s="323"/>
      <c r="M25" s="323"/>
    </row>
    <row r="26" spans="2:13" ht="13.5" thickBot="1">
      <c r="B26" s="32"/>
      <c r="L26" s="323"/>
      <c r="M26" s="323"/>
    </row>
    <row r="27" spans="1:13" ht="13.5" thickBot="1">
      <c r="A27" s="33"/>
      <c r="B27" s="34" t="s">
        <v>1</v>
      </c>
      <c r="C27" s="201" t="s">
        <v>55</v>
      </c>
      <c r="D27" s="201" t="s">
        <v>56</v>
      </c>
      <c r="E27" s="201" t="s">
        <v>57</v>
      </c>
      <c r="F27" s="201" t="s">
        <v>58</v>
      </c>
      <c r="G27" s="201" t="s">
        <v>59</v>
      </c>
      <c r="H27" s="201" t="s">
        <v>60</v>
      </c>
      <c r="I27" s="202" t="s">
        <v>61</v>
      </c>
      <c r="J27" s="203" t="s">
        <v>62</v>
      </c>
      <c r="K27" s="202" t="s">
        <v>63</v>
      </c>
      <c r="L27" s="339" t="s">
        <v>64</v>
      </c>
      <c r="M27" s="324" t="s">
        <v>264</v>
      </c>
    </row>
    <row r="28" spans="1:13" ht="24.75" customHeight="1" thickBot="1">
      <c r="A28" s="35"/>
      <c r="B28" s="49" t="s">
        <v>3</v>
      </c>
      <c r="C28" s="204" t="s">
        <v>4</v>
      </c>
      <c r="D28" s="205" t="s">
        <v>79</v>
      </c>
      <c r="E28" s="205" t="s">
        <v>66</v>
      </c>
      <c r="F28" s="205" t="s">
        <v>67</v>
      </c>
      <c r="G28" s="205" t="s">
        <v>68</v>
      </c>
      <c r="H28" s="205" t="s">
        <v>69</v>
      </c>
      <c r="I28" s="205" t="s">
        <v>70</v>
      </c>
      <c r="J28" s="205" t="s">
        <v>71</v>
      </c>
      <c r="K28" s="206" t="s">
        <v>72</v>
      </c>
      <c r="L28" s="340" t="s">
        <v>474</v>
      </c>
      <c r="M28" s="325" t="s">
        <v>473</v>
      </c>
    </row>
    <row r="29" spans="1:13" ht="12.75">
      <c r="A29" s="37" t="s">
        <v>46</v>
      </c>
      <c r="B29" s="50"/>
      <c r="C29" s="207" t="s">
        <v>80</v>
      </c>
      <c r="D29" s="51">
        <v>69</v>
      </c>
      <c r="E29" s="51">
        <v>69</v>
      </c>
      <c r="F29" s="51">
        <v>69</v>
      </c>
      <c r="G29" s="51">
        <v>69</v>
      </c>
      <c r="H29" s="51">
        <v>69</v>
      </c>
      <c r="I29" s="51">
        <v>69</v>
      </c>
      <c r="J29" s="51">
        <v>69</v>
      </c>
      <c r="K29" s="199">
        <v>69</v>
      </c>
      <c r="L29" s="341">
        <v>69</v>
      </c>
      <c r="M29" s="329">
        <v>69</v>
      </c>
    </row>
    <row r="30" spans="1:13" ht="12.75">
      <c r="A30" s="37" t="s">
        <v>48</v>
      </c>
      <c r="B30" s="52" t="s">
        <v>81</v>
      </c>
      <c r="C30" s="208" t="s">
        <v>16</v>
      </c>
      <c r="D30" s="53">
        <v>42</v>
      </c>
      <c r="E30" s="53">
        <v>42</v>
      </c>
      <c r="F30" s="53">
        <v>42</v>
      </c>
      <c r="G30" s="54">
        <v>41</v>
      </c>
      <c r="H30" s="54">
        <v>41</v>
      </c>
      <c r="I30" s="54">
        <v>41</v>
      </c>
      <c r="J30" s="54">
        <v>41</v>
      </c>
      <c r="K30" s="55">
        <v>41</v>
      </c>
      <c r="L30" s="342">
        <v>41</v>
      </c>
      <c r="M30" s="330">
        <v>41</v>
      </c>
    </row>
    <row r="31" spans="1:13" ht="12.75">
      <c r="A31" s="37" t="s">
        <v>50</v>
      </c>
      <c r="B31" s="52" t="s">
        <v>18</v>
      </c>
      <c r="C31" s="208" t="s">
        <v>19</v>
      </c>
      <c r="D31" s="53">
        <v>21</v>
      </c>
      <c r="E31" s="53">
        <v>21</v>
      </c>
      <c r="F31" s="53">
        <v>21</v>
      </c>
      <c r="G31" s="54">
        <v>21</v>
      </c>
      <c r="H31" s="54">
        <v>20</v>
      </c>
      <c r="I31" s="54">
        <v>20</v>
      </c>
      <c r="J31" s="54">
        <v>20</v>
      </c>
      <c r="K31" s="55">
        <v>20</v>
      </c>
      <c r="L31" s="342">
        <v>20</v>
      </c>
      <c r="M31" s="330">
        <v>20</v>
      </c>
    </row>
    <row r="32" spans="1:13" ht="12.75">
      <c r="A32" s="37" t="s">
        <v>52</v>
      </c>
      <c r="B32" s="52" t="s">
        <v>82</v>
      </c>
      <c r="C32" s="209" t="s">
        <v>476</v>
      </c>
      <c r="D32" s="53">
        <v>20</v>
      </c>
      <c r="E32" s="53">
        <v>20</v>
      </c>
      <c r="F32" s="53">
        <v>20</v>
      </c>
      <c r="G32" s="54">
        <v>20</v>
      </c>
      <c r="H32" s="54">
        <v>20</v>
      </c>
      <c r="I32" s="54">
        <v>20</v>
      </c>
      <c r="J32" s="54">
        <v>20</v>
      </c>
      <c r="K32" s="55">
        <v>20</v>
      </c>
      <c r="L32" s="342">
        <v>20</v>
      </c>
      <c r="M32" s="330">
        <v>20</v>
      </c>
    </row>
    <row r="33" spans="1:13" ht="12.75">
      <c r="A33" s="37" t="s">
        <v>83</v>
      </c>
      <c r="B33" s="52" t="s">
        <v>84</v>
      </c>
      <c r="C33" s="208" t="s">
        <v>25</v>
      </c>
      <c r="D33" s="53">
        <v>82</v>
      </c>
      <c r="E33" s="53">
        <v>82</v>
      </c>
      <c r="F33" s="53">
        <v>82</v>
      </c>
      <c r="G33" s="54">
        <v>82</v>
      </c>
      <c r="H33" s="54">
        <v>82</v>
      </c>
      <c r="I33" s="54">
        <v>82</v>
      </c>
      <c r="J33" s="54">
        <v>82</v>
      </c>
      <c r="K33" s="55">
        <v>82</v>
      </c>
      <c r="L33" s="342">
        <f>82-6</f>
        <v>76</v>
      </c>
      <c r="M33" s="330">
        <v>76</v>
      </c>
    </row>
    <row r="34" spans="1:13" ht="12.75">
      <c r="A34" s="37" t="s">
        <v>85</v>
      </c>
      <c r="B34" s="52" t="s">
        <v>27</v>
      </c>
      <c r="C34" s="209" t="s">
        <v>28</v>
      </c>
      <c r="D34" s="53">
        <v>22</v>
      </c>
      <c r="E34" s="53">
        <v>25</v>
      </c>
      <c r="F34" s="53">
        <v>25</v>
      </c>
      <c r="G34" s="54">
        <v>18</v>
      </c>
      <c r="H34" s="54">
        <v>18</v>
      </c>
      <c r="I34" s="54">
        <v>18</v>
      </c>
      <c r="J34" s="54">
        <v>18</v>
      </c>
      <c r="K34" s="55">
        <v>18</v>
      </c>
      <c r="L34" s="342">
        <v>18</v>
      </c>
      <c r="M34" s="330">
        <v>18</v>
      </c>
    </row>
    <row r="35" spans="1:13" ht="12.75">
      <c r="A35" s="37" t="s">
        <v>86</v>
      </c>
      <c r="B35" s="52" t="s">
        <v>30</v>
      </c>
      <c r="C35" s="208" t="s">
        <v>31</v>
      </c>
      <c r="D35" s="53">
        <v>65</v>
      </c>
      <c r="E35" s="53">
        <v>71</v>
      </c>
      <c r="F35" s="53">
        <v>71</v>
      </c>
      <c r="G35" s="54">
        <v>78</v>
      </c>
      <c r="H35" s="54">
        <v>78</v>
      </c>
      <c r="I35" s="55">
        <v>79</v>
      </c>
      <c r="J35" s="55">
        <f>79+6</f>
        <v>85</v>
      </c>
      <c r="K35" s="55">
        <f>79+6</f>
        <v>85</v>
      </c>
      <c r="L35" s="342">
        <v>90</v>
      </c>
      <c r="M35" s="330">
        <v>90</v>
      </c>
    </row>
    <row r="36" spans="1:13" ht="13.5" thickBot="1">
      <c r="A36" s="37" t="s">
        <v>87</v>
      </c>
      <c r="B36" s="56" t="s">
        <v>33</v>
      </c>
      <c r="C36" s="210" t="s">
        <v>34</v>
      </c>
      <c r="D36" s="57">
        <v>11</v>
      </c>
      <c r="E36" s="57">
        <v>11</v>
      </c>
      <c r="F36" s="57">
        <v>11</v>
      </c>
      <c r="G36" s="58">
        <v>11</v>
      </c>
      <c r="H36" s="58">
        <v>11</v>
      </c>
      <c r="I36" s="59">
        <v>11</v>
      </c>
      <c r="J36" s="59">
        <v>11</v>
      </c>
      <c r="K36" s="200">
        <v>19</v>
      </c>
      <c r="L36" s="337">
        <v>19</v>
      </c>
      <c r="M36" s="331">
        <v>19</v>
      </c>
    </row>
    <row r="37" spans="1:13" ht="15.75" thickBot="1">
      <c r="A37" s="47" t="s">
        <v>88</v>
      </c>
      <c r="B37" s="60"/>
      <c r="C37" s="211" t="s">
        <v>78</v>
      </c>
      <c r="D37" s="212">
        <f aca="true" t="shared" si="1" ref="D37:K37">SUM(D29:D36)</f>
        <v>332</v>
      </c>
      <c r="E37" s="212">
        <f t="shared" si="1"/>
        <v>341</v>
      </c>
      <c r="F37" s="212">
        <f t="shared" si="1"/>
        <v>341</v>
      </c>
      <c r="G37" s="212">
        <f t="shared" si="1"/>
        <v>340</v>
      </c>
      <c r="H37" s="212">
        <f t="shared" si="1"/>
        <v>339</v>
      </c>
      <c r="I37" s="212">
        <f t="shared" si="1"/>
        <v>340</v>
      </c>
      <c r="J37" s="212">
        <f t="shared" si="1"/>
        <v>346</v>
      </c>
      <c r="K37" s="213">
        <f t="shared" si="1"/>
        <v>354</v>
      </c>
      <c r="L37" s="343">
        <f>SUM(L29:L36)</f>
        <v>353</v>
      </c>
      <c r="M37" s="326">
        <f>SUM(M29:M36)</f>
        <v>353</v>
      </c>
    </row>
  </sheetData>
  <sheetProtection selectLockedCells="1" selectUnlockedCells="1"/>
  <mergeCells count="1">
    <mergeCell ref="B1:M1"/>
  </mergeCells>
  <printOptions horizontalCentered="1"/>
  <pageMargins left="0.7875" right="0.7875" top="0.5902777777777777" bottom="0.39375" header="0.5118055555555555" footer="0.5118055555555555"/>
  <pageSetup horizontalDpi="300" verticalDpi="300" orientation="landscape" scale="95" r:id="rId1"/>
  <headerFooter alignWithMargins="0">
    <oddHeader>&amp;L&amp;8 2. melléklet a …/…..(….)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5" sqref="A65"/>
      <selection pane="bottomRight" activeCell="G114" sqref="G114"/>
    </sheetView>
  </sheetViews>
  <sheetFormatPr defaultColWidth="9.00390625" defaultRowHeight="12.75"/>
  <cols>
    <col min="1" max="1" width="3.875" style="242" customWidth="1"/>
    <col min="2" max="2" width="37.75390625" style="242" customWidth="1"/>
    <col min="3" max="4" width="9.75390625" style="242" customWidth="1"/>
    <col min="5" max="5" width="10.00390625" style="242" customWidth="1"/>
    <col min="6" max="6" width="11.25390625" style="242" customWidth="1"/>
    <col min="7" max="7" width="9.625" style="242" customWidth="1"/>
    <col min="8" max="8" width="4.125" style="242" customWidth="1"/>
    <col min="9" max="9" width="9.375" style="242" customWidth="1"/>
    <col min="10" max="16384" width="9.125" style="242" customWidth="1"/>
  </cols>
  <sheetData>
    <row r="1" spans="1:5" ht="15">
      <c r="A1" s="535" t="s">
        <v>89</v>
      </c>
      <c r="B1" s="535"/>
      <c r="C1" s="535"/>
      <c r="D1" s="535"/>
      <c r="E1" s="535"/>
    </row>
    <row r="2" spans="4:5" ht="12.75" customHeight="1" thickBot="1">
      <c r="D2" s="62" t="s">
        <v>90</v>
      </c>
      <c r="E2" s="5"/>
    </row>
    <row r="3" spans="1:8" ht="12" customHeight="1" thickBot="1">
      <c r="A3" s="63"/>
      <c r="B3" s="94" t="s">
        <v>1</v>
      </c>
      <c r="C3" s="95" t="s">
        <v>2</v>
      </c>
      <c r="D3" s="95" t="s">
        <v>56</v>
      </c>
      <c r="E3" s="96" t="s">
        <v>57</v>
      </c>
      <c r="F3" s="96" t="s">
        <v>58</v>
      </c>
      <c r="G3" s="96" t="s">
        <v>59</v>
      </c>
      <c r="H3" s="276" t="s">
        <v>60</v>
      </c>
    </row>
    <row r="4" spans="1:8" ht="24.75" customHeight="1" thickBot="1">
      <c r="A4" s="64"/>
      <c r="B4" s="243" t="s">
        <v>91</v>
      </c>
      <c r="C4" s="244" t="s">
        <v>92</v>
      </c>
      <c r="D4" s="245" t="s">
        <v>93</v>
      </c>
      <c r="E4" s="244" t="s">
        <v>94</v>
      </c>
      <c r="F4" s="245" t="s">
        <v>478</v>
      </c>
      <c r="G4" s="245" t="s">
        <v>479</v>
      </c>
      <c r="H4" s="275" t="s">
        <v>452</v>
      </c>
    </row>
    <row r="5" spans="1:8" ht="12" customHeight="1">
      <c r="A5" s="69" t="s">
        <v>5</v>
      </c>
      <c r="B5" s="246" t="s">
        <v>95</v>
      </c>
      <c r="C5" s="70">
        <f>SUM(C6:C8)</f>
        <v>1900639</v>
      </c>
      <c r="D5" s="71">
        <f>D6+D7+D8</f>
        <v>2026956</v>
      </c>
      <c r="E5" s="70">
        <f>E6+E7+E8</f>
        <v>1716234</v>
      </c>
      <c r="F5" s="440">
        <f>F6+F7+F8</f>
        <v>1715491</v>
      </c>
      <c r="G5" s="443">
        <f>G6+G7+G8</f>
        <v>1596928</v>
      </c>
      <c r="H5" s="247">
        <f aca="true" t="shared" si="0" ref="H5:H15">G5/F5*100</f>
        <v>93.08868423092864</v>
      </c>
    </row>
    <row r="6" spans="1:8" ht="12" customHeight="1">
      <c r="A6" s="69" t="s">
        <v>8</v>
      </c>
      <c r="B6" s="248" t="s">
        <v>96</v>
      </c>
      <c r="C6" s="73">
        <v>366816</v>
      </c>
      <c r="D6" s="74">
        <f>338413+63258</f>
        <v>401671</v>
      </c>
      <c r="E6" s="73">
        <v>286667</v>
      </c>
      <c r="F6" s="416">
        <f>286667-1200-1</f>
        <v>285466</v>
      </c>
      <c r="G6" s="416">
        <f>410066-115673-2156</f>
        <v>292237</v>
      </c>
      <c r="H6" s="249">
        <f t="shared" si="0"/>
        <v>102.37191119082483</v>
      </c>
    </row>
    <row r="7" spans="1:8" ht="12" customHeight="1">
      <c r="A7" s="69" t="s">
        <v>10</v>
      </c>
      <c r="B7" s="248" t="s">
        <v>97</v>
      </c>
      <c r="C7" s="73">
        <v>174754</v>
      </c>
      <c r="D7" s="74">
        <v>148155</v>
      </c>
      <c r="E7" s="73">
        <v>105700</v>
      </c>
      <c r="F7" s="416">
        <v>105700</v>
      </c>
      <c r="G7" s="416">
        <v>115673</v>
      </c>
      <c r="H7" s="250">
        <f t="shared" si="0"/>
        <v>109.43519394512774</v>
      </c>
    </row>
    <row r="8" spans="1:8" ht="12" customHeight="1">
      <c r="A8" s="69" t="s">
        <v>12</v>
      </c>
      <c r="B8" s="248" t="s">
        <v>98</v>
      </c>
      <c r="C8" s="73">
        <f>SUM(C9:C15)</f>
        <v>1359069</v>
      </c>
      <c r="D8" s="74">
        <f>SUM(D9:D15)</f>
        <v>1477130</v>
      </c>
      <c r="E8" s="73">
        <f>SUM(E9:E15)</f>
        <v>1323867</v>
      </c>
      <c r="F8" s="416">
        <f>SUM(F9:F15)</f>
        <v>1324325</v>
      </c>
      <c r="G8" s="416">
        <f>SUM(G9:G15)</f>
        <v>1189018</v>
      </c>
      <c r="H8" s="251">
        <f t="shared" si="0"/>
        <v>89.78294602910917</v>
      </c>
    </row>
    <row r="9" spans="1:8" ht="12" customHeight="1">
      <c r="A9" s="69" t="s">
        <v>14</v>
      </c>
      <c r="B9" s="252" t="s">
        <v>99</v>
      </c>
      <c r="C9" s="78">
        <v>713798</v>
      </c>
      <c r="D9" s="79">
        <v>898955</v>
      </c>
      <c r="E9" s="78">
        <v>800000</v>
      </c>
      <c r="F9" s="415">
        <v>800000</v>
      </c>
      <c r="G9" s="415">
        <v>755886</v>
      </c>
      <c r="H9" s="253">
        <f t="shared" si="0"/>
        <v>94.48575</v>
      </c>
    </row>
    <row r="10" spans="1:8" ht="12" customHeight="1">
      <c r="A10" s="69" t="s">
        <v>17</v>
      </c>
      <c r="B10" s="252" t="s">
        <v>100</v>
      </c>
      <c r="C10" s="78">
        <v>46788</v>
      </c>
      <c r="D10" s="79">
        <v>47259</v>
      </c>
      <c r="E10" s="78">
        <v>50200</v>
      </c>
      <c r="F10" s="415">
        <v>50200</v>
      </c>
      <c r="G10" s="415">
        <v>46617</v>
      </c>
      <c r="H10" s="253">
        <f t="shared" si="0"/>
        <v>92.86254980079681</v>
      </c>
    </row>
    <row r="11" spans="1:8" ht="12" customHeight="1">
      <c r="A11" s="69" t="s">
        <v>20</v>
      </c>
      <c r="B11" s="252" t="s">
        <v>101</v>
      </c>
      <c r="C11" s="78">
        <v>2596</v>
      </c>
      <c r="D11" s="79">
        <v>2279</v>
      </c>
      <c r="E11" s="78">
        <v>2200</v>
      </c>
      <c r="F11" s="415">
        <v>2200</v>
      </c>
      <c r="G11" s="415">
        <v>1807</v>
      </c>
      <c r="H11" s="253">
        <f t="shared" si="0"/>
        <v>82.13636363636364</v>
      </c>
    </row>
    <row r="12" spans="1:8" ht="12" customHeight="1">
      <c r="A12" s="69" t="s">
        <v>23</v>
      </c>
      <c r="B12" s="252" t="s">
        <v>102</v>
      </c>
      <c r="C12" s="78">
        <v>108568</v>
      </c>
      <c r="D12" s="79">
        <v>116128</v>
      </c>
      <c r="E12" s="78">
        <v>110000</v>
      </c>
      <c r="F12" s="415">
        <v>110000</v>
      </c>
      <c r="G12" s="415">
        <v>105902</v>
      </c>
      <c r="H12" s="253">
        <f t="shared" si="0"/>
        <v>96.27454545454546</v>
      </c>
    </row>
    <row r="13" spans="1:8" ht="12" customHeight="1">
      <c r="A13" s="69" t="s">
        <v>26</v>
      </c>
      <c r="B13" s="252" t="s">
        <v>103</v>
      </c>
      <c r="C13" s="78">
        <v>451786</v>
      </c>
      <c r="D13" s="79">
        <v>380076</v>
      </c>
      <c r="E13" s="78">
        <v>339167</v>
      </c>
      <c r="F13" s="415">
        <v>338425</v>
      </c>
      <c r="G13" s="415">
        <v>256188</v>
      </c>
      <c r="H13" s="253">
        <f t="shared" si="0"/>
        <v>75.70008125877226</v>
      </c>
    </row>
    <row r="14" spans="1:8" ht="12" customHeight="1">
      <c r="A14" s="69" t="s">
        <v>29</v>
      </c>
      <c r="B14" s="252" t="s">
        <v>104</v>
      </c>
      <c r="C14" s="78">
        <f>35533-6502</f>
        <v>29031</v>
      </c>
      <c r="D14" s="79">
        <v>25680</v>
      </c>
      <c r="E14" s="78">
        <v>15300</v>
      </c>
      <c r="F14" s="415">
        <f>15300+1200</f>
        <v>16500</v>
      </c>
      <c r="G14" s="415">
        <v>17055</v>
      </c>
      <c r="H14" s="253">
        <f t="shared" si="0"/>
        <v>103.36363636363637</v>
      </c>
    </row>
    <row r="15" spans="1:8" ht="12" customHeight="1">
      <c r="A15" s="69" t="s">
        <v>32</v>
      </c>
      <c r="B15" s="252" t="s">
        <v>105</v>
      </c>
      <c r="C15" s="78">
        <v>6502</v>
      </c>
      <c r="D15" s="79">
        <v>6753</v>
      </c>
      <c r="E15" s="78">
        <v>7000</v>
      </c>
      <c r="F15" s="415">
        <v>7000</v>
      </c>
      <c r="G15" s="415">
        <v>5563</v>
      </c>
      <c r="H15" s="253">
        <f t="shared" si="0"/>
        <v>79.47142857142858</v>
      </c>
    </row>
    <row r="16" spans="1:8" ht="12" customHeight="1">
      <c r="A16" s="69" t="s">
        <v>35</v>
      </c>
      <c r="B16" s="252"/>
      <c r="C16" s="78"/>
      <c r="D16" s="79"/>
      <c r="E16" s="78"/>
      <c r="F16" s="415"/>
      <c r="G16" s="415"/>
      <c r="H16" s="254"/>
    </row>
    <row r="17" spans="1:8" ht="12" customHeight="1">
      <c r="A17" s="69" t="s">
        <v>37</v>
      </c>
      <c r="B17" s="248" t="s">
        <v>106</v>
      </c>
      <c r="C17" s="73">
        <f>SUM(C18:C26)</f>
        <v>2828998</v>
      </c>
      <c r="D17" s="74">
        <f>SUM(D18:D26)</f>
        <v>2672960</v>
      </c>
      <c r="E17" s="73">
        <f>SUM(E18:E26)</f>
        <v>1907072</v>
      </c>
      <c r="F17" s="416">
        <f>SUM(F18:F26)</f>
        <v>2290560</v>
      </c>
      <c r="G17" s="416">
        <f>SUM(G18:G26)</f>
        <v>1947771</v>
      </c>
      <c r="H17" s="254">
        <f aca="true" t="shared" si="1" ref="H17:H29">G17/F17*100</f>
        <v>85.03470766974016</v>
      </c>
    </row>
    <row r="18" spans="1:8" ht="12" customHeight="1">
      <c r="A18" s="69" t="s">
        <v>39</v>
      </c>
      <c r="B18" s="252" t="s">
        <v>107</v>
      </c>
      <c r="C18" s="78">
        <v>1816907</v>
      </c>
      <c r="D18" s="79">
        <f>1630843+27492</f>
        <v>1658335</v>
      </c>
      <c r="E18" s="78">
        <v>1639242</v>
      </c>
      <c r="F18" s="415">
        <v>1629944</v>
      </c>
      <c r="G18" s="415">
        <v>1231581</v>
      </c>
      <c r="H18" s="253">
        <f t="shared" si="1"/>
        <v>75.5597124809196</v>
      </c>
    </row>
    <row r="19" spans="1:8" ht="12" customHeight="1">
      <c r="A19" s="69" t="s">
        <v>41</v>
      </c>
      <c r="B19" s="252" t="s">
        <v>108</v>
      </c>
      <c r="C19" s="78">
        <v>12748</v>
      </c>
      <c r="D19" s="79">
        <v>7500</v>
      </c>
      <c r="E19" s="78">
        <v>19448</v>
      </c>
      <c r="F19" s="415">
        <v>19448</v>
      </c>
      <c r="G19" s="415">
        <v>14680</v>
      </c>
      <c r="H19" s="253">
        <f t="shared" si="1"/>
        <v>75.48334018922255</v>
      </c>
    </row>
    <row r="20" spans="1:8" ht="12" customHeight="1">
      <c r="A20" s="69" t="s">
        <v>44</v>
      </c>
      <c r="B20" s="252" t="s">
        <v>109</v>
      </c>
      <c r="C20" s="78">
        <v>260930</v>
      </c>
      <c r="D20" s="79">
        <v>248562</v>
      </c>
      <c r="E20" s="78">
        <v>248382</v>
      </c>
      <c r="F20" s="415">
        <v>248382</v>
      </c>
      <c r="G20" s="415">
        <v>188025</v>
      </c>
      <c r="H20" s="253">
        <f t="shared" si="1"/>
        <v>75.69992994661449</v>
      </c>
    </row>
    <row r="21" spans="1:8" ht="12" customHeight="1">
      <c r="A21" s="69" t="s">
        <v>46</v>
      </c>
      <c r="B21" s="252" t="s">
        <v>110</v>
      </c>
      <c r="C21" s="78">
        <v>75007</v>
      </c>
      <c r="D21" s="79">
        <v>53000</v>
      </c>
      <c r="E21" s="78"/>
      <c r="F21" s="415">
        <v>53500</v>
      </c>
      <c r="G21" s="415">
        <v>53500</v>
      </c>
      <c r="H21" s="253">
        <f t="shared" si="1"/>
        <v>100</v>
      </c>
    </row>
    <row r="22" spans="1:8" ht="12" customHeight="1">
      <c r="A22" s="69" t="s">
        <v>48</v>
      </c>
      <c r="B22" s="252" t="s">
        <v>111</v>
      </c>
      <c r="C22" s="78">
        <v>447087</v>
      </c>
      <c r="D22" s="79">
        <v>543643</v>
      </c>
      <c r="E22" s="78"/>
      <c r="F22" s="415">
        <v>166877</v>
      </c>
      <c r="G22" s="415">
        <v>224747</v>
      </c>
      <c r="H22" s="253">
        <f t="shared" si="1"/>
        <v>134.6782360660846</v>
      </c>
    </row>
    <row r="23" spans="1:9" ht="12" customHeight="1">
      <c r="A23" s="69" t="s">
        <v>50</v>
      </c>
      <c r="B23" s="252" t="s">
        <v>112</v>
      </c>
      <c r="C23" s="78">
        <f>209982+1448</f>
        <v>211430</v>
      </c>
      <c r="D23" s="80">
        <v>146822</v>
      </c>
      <c r="E23" s="78"/>
      <c r="F23" s="415">
        <f>5213+250</f>
        <v>5463</v>
      </c>
      <c r="G23" s="415">
        <f>68042+250-14261</f>
        <v>54031</v>
      </c>
      <c r="H23" s="253">
        <f t="shared" si="1"/>
        <v>989.0353285740435</v>
      </c>
      <c r="I23" s="255"/>
    </row>
    <row r="24" spans="1:10" ht="12" customHeight="1">
      <c r="A24" s="69" t="s">
        <v>52</v>
      </c>
      <c r="B24" s="252" t="s">
        <v>113</v>
      </c>
      <c r="C24" s="78">
        <v>4889</v>
      </c>
      <c r="D24" s="79">
        <v>15098</v>
      </c>
      <c r="E24" s="78"/>
      <c r="F24" s="415">
        <f>1100</f>
        <v>1100</v>
      </c>
      <c r="G24" s="415">
        <f>1100</f>
        <v>1100</v>
      </c>
      <c r="H24" s="253">
        <f t="shared" si="1"/>
        <v>100</v>
      </c>
      <c r="J24" s="255"/>
    </row>
    <row r="25" spans="1:9" ht="12" customHeight="1">
      <c r="A25" s="69" t="s">
        <v>83</v>
      </c>
      <c r="B25" s="252" t="s">
        <v>446</v>
      </c>
      <c r="C25" s="78"/>
      <c r="D25" s="79"/>
      <c r="E25" s="78"/>
      <c r="F25" s="415">
        <v>137332</v>
      </c>
      <c r="G25" s="415">
        <v>137332</v>
      </c>
      <c r="H25" s="253">
        <f t="shared" si="1"/>
        <v>100</v>
      </c>
      <c r="I25" s="255"/>
    </row>
    <row r="26" spans="1:8" ht="12" customHeight="1">
      <c r="A26" s="69" t="s">
        <v>85</v>
      </c>
      <c r="B26" s="252" t="s">
        <v>445</v>
      </c>
      <c r="C26" s="78"/>
      <c r="D26" s="79"/>
      <c r="E26" s="78"/>
      <c r="F26" s="415">
        <v>28514</v>
      </c>
      <c r="G26" s="415">
        <f>28764-250+14261</f>
        <v>42775</v>
      </c>
      <c r="H26" s="253">
        <f t="shared" si="1"/>
        <v>150.0140281966753</v>
      </c>
    </row>
    <row r="27" spans="1:8" ht="12" customHeight="1">
      <c r="A27" s="69" t="s">
        <v>86</v>
      </c>
      <c r="B27" s="248" t="s">
        <v>114</v>
      </c>
      <c r="C27" s="73">
        <f>SUM(C28:C31)</f>
        <v>184394</v>
      </c>
      <c r="D27" s="74">
        <f>SUM(D28:D31)</f>
        <v>151288</v>
      </c>
      <c r="E27" s="73">
        <f>SUM(E28:E31)</f>
        <v>440710</v>
      </c>
      <c r="F27" s="416">
        <f>SUM(F28:F31)</f>
        <v>451760</v>
      </c>
      <c r="G27" s="416">
        <f>SUM(G28:G31)</f>
        <v>121737</v>
      </c>
      <c r="H27" s="254">
        <f t="shared" si="1"/>
        <v>26.947272888259256</v>
      </c>
    </row>
    <row r="28" spans="1:8" ht="12" customHeight="1">
      <c r="A28" s="69" t="s">
        <v>87</v>
      </c>
      <c r="B28" s="252" t="s">
        <v>115</v>
      </c>
      <c r="C28" s="78">
        <v>8775</v>
      </c>
      <c r="D28" s="79">
        <v>51351</v>
      </c>
      <c r="E28" s="78">
        <f>159040+39760+183160-183160</f>
        <v>198800</v>
      </c>
      <c r="F28" s="415">
        <f>343250-183160+39760+10000</f>
        <v>209850</v>
      </c>
      <c r="G28" s="415">
        <f>2156+24953+43856-34993</f>
        <v>35972</v>
      </c>
      <c r="H28" s="253">
        <f t="shared" si="1"/>
        <v>17.141767929473435</v>
      </c>
    </row>
    <row r="29" spans="1:8" ht="12" customHeight="1">
      <c r="A29" s="69" t="s">
        <v>88</v>
      </c>
      <c r="B29" s="252" t="s">
        <v>116</v>
      </c>
      <c r="C29" s="78">
        <v>175619</v>
      </c>
      <c r="D29" s="79">
        <v>11187</v>
      </c>
      <c r="E29" s="78">
        <f>8750</f>
        <v>8750</v>
      </c>
      <c r="F29" s="415">
        <v>8750</v>
      </c>
      <c r="G29" s="415">
        <v>1976</v>
      </c>
      <c r="H29" s="253">
        <f t="shared" si="1"/>
        <v>22.582857142857144</v>
      </c>
    </row>
    <row r="30" spans="1:8" ht="12" customHeight="1">
      <c r="A30" s="69" t="s">
        <v>117</v>
      </c>
      <c r="B30" s="252" t="s">
        <v>118</v>
      </c>
      <c r="C30" s="78"/>
      <c r="D30" s="79">
        <v>88750</v>
      </c>
      <c r="E30" s="78"/>
      <c r="F30" s="415"/>
      <c r="G30" s="415"/>
      <c r="H30" s="253"/>
    </row>
    <row r="31" spans="1:8" ht="12" customHeight="1">
      <c r="A31" s="69" t="s">
        <v>119</v>
      </c>
      <c r="B31" s="252" t="s">
        <v>120</v>
      </c>
      <c r="C31" s="78"/>
      <c r="D31" s="79"/>
      <c r="E31" s="78">
        <f>50000+183160</f>
        <v>233160</v>
      </c>
      <c r="F31" s="415">
        <f>50000+183160</f>
        <v>233160</v>
      </c>
      <c r="G31" s="415">
        <f>34993+48796</f>
        <v>83789</v>
      </c>
      <c r="H31" s="253">
        <f aca="true" t="shared" si="2" ref="H31:H40">G31/F31*100</f>
        <v>35.93626694115628</v>
      </c>
    </row>
    <row r="32" spans="1:8" s="81" customFormat="1" ht="12" customHeight="1">
      <c r="A32" s="69" t="s">
        <v>121</v>
      </c>
      <c r="B32" s="248" t="s">
        <v>122</v>
      </c>
      <c r="C32" s="73">
        <f>C33+C35</f>
        <v>3967677</v>
      </c>
      <c r="D32" s="74">
        <f>D33+D35</f>
        <v>4413446</v>
      </c>
      <c r="E32" s="73">
        <f>E33+E35</f>
        <v>4180965</v>
      </c>
      <c r="F32" s="416">
        <f>F33+F35</f>
        <v>4231655</v>
      </c>
      <c r="G32" s="416">
        <f>G33+G35</f>
        <v>3203474</v>
      </c>
      <c r="H32" s="254">
        <f t="shared" si="2"/>
        <v>75.70262698636822</v>
      </c>
    </row>
    <row r="33" spans="1:12" ht="12" customHeight="1">
      <c r="A33" s="69" t="s">
        <v>123</v>
      </c>
      <c r="B33" s="252" t="s">
        <v>124</v>
      </c>
      <c r="C33" s="78">
        <v>3881541</v>
      </c>
      <c r="D33" s="79">
        <v>4233894</v>
      </c>
      <c r="E33" s="78">
        <f>4188882+420-10000</f>
        <v>4179302</v>
      </c>
      <c r="F33" s="415">
        <f>4099198-4911+2420+74419</f>
        <v>4171126</v>
      </c>
      <c r="G33" s="415">
        <f>3194219+9255</f>
        <v>3203474</v>
      </c>
      <c r="H33" s="253">
        <f t="shared" si="2"/>
        <v>76.8011803047906</v>
      </c>
      <c r="L33" s="255"/>
    </row>
    <row r="34" spans="1:8" ht="12" customHeight="1">
      <c r="A34" s="69" t="s">
        <v>125</v>
      </c>
      <c r="B34" s="248" t="s">
        <v>126</v>
      </c>
      <c r="C34" s="78">
        <v>3554106</v>
      </c>
      <c r="D34" s="79">
        <v>3932482</v>
      </c>
      <c r="E34" s="78">
        <f>3720300+600</f>
        <v>3720900</v>
      </c>
      <c r="F34" s="411">
        <f>3720300+600</f>
        <v>3720900</v>
      </c>
      <c r="G34" s="415">
        <v>2934177</v>
      </c>
      <c r="H34" s="253">
        <f t="shared" si="2"/>
        <v>78.85664758526163</v>
      </c>
    </row>
    <row r="35" spans="1:10" ht="12" customHeight="1">
      <c r="A35" s="69" t="s">
        <v>127</v>
      </c>
      <c r="B35" s="248" t="s">
        <v>128</v>
      </c>
      <c r="C35" s="78">
        <v>86136</v>
      </c>
      <c r="D35" s="79">
        <v>179552</v>
      </c>
      <c r="E35" s="78">
        <f>1100+563</f>
        <v>1663</v>
      </c>
      <c r="F35" s="415">
        <f>42563+17966</f>
        <v>60529</v>
      </c>
      <c r="G35" s="415"/>
      <c r="H35" s="253">
        <f t="shared" si="2"/>
        <v>0</v>
      </c>
      <c r="J35" s="255"/>
    </row>
    <row r="36" spans="1:8" ht="12" customHeight="1">
      <c r="A36" s="69" t="s">
        <v>129</v>
      </c>
      <c r="B36" s="252" t="s">
        <v>130</v>
      </c>
      <c r="C36" s="78">
        <v>86136</v>
      </c>
      <c r="D36" s="79">
        <v>160000</v>
      </c>
      <c r="E36" s="78"/>
      <c r="F36" s="415"/>
      <c r="G36" s="415"/>
      <c r="H36" s="253"/>
    </row>
    <row r="37" spans="1:8" ht="12" customHeight="1">
      <c r="A37" s="69" t="s">
        <v>131</v>
      </c>
      <c r="B37" s="248" t="s">
        <v>132</v>
      </c>
      <c r="C37" s="73">
        <f>C38+C39</f>
        <v>242992</v>
      </c>
      <c r="D37" s="74">
        <f>D38+D39</f>
        <v>121117</v>
      </c>
      <c r="E37" s="73">
        <f>E38+E39</f>
        <v>1557088</v>
      </c>
      <c r="F37" s="416">
        <f>F38+F39</f>
        <v>1634284</v>
      </c>
      <c r="G37" s="416">
        <f>G38+G39</f>
        <v>406094</v>
      </c>
      <c r="H37" s="254">
        <f t="shared" si="2"/>
        <v>24.848435155701214</v>
      </c>
    </row>
    <row r="38" spans="1:8" ht="12" customHeight="1">
      <c r="A38" s="69" t="s">
        <v>133</v>
      </c>
      <c r="B38" s="252" t="s">
        <v>447</v>
      </c>
      <c r="C38" s="78">
        <f>65538+128247</f>
        <v>193785</v>
      </c>
      <c r="D38" s="79">
        <v>53459</v>
      </c>
      <c r="E38" s="78">
        <v>10000</v>
      </c>
      <c r="F38" s="415">
        <f>67273+2011+4223</f>
        <v>73507</v>
      </c>
      <c r="G38" s="415">
        <f>74087</f>
        <v>74087</v>
      </c>
      <c r="H38" s="253">
        <f t="shared" si="2"/>
        <v>100.78904049954427</v>
      </c>
    </row>
    <row r="39" spans="1:12" ht="12" customHeight="1">
      <c r="A39" s="69" t="s">
        <v>134</v>
      </c>
      <c r="B39" s="252" t="s">
        <v>448</v>
      </c>
      <c r="C39" s="78">
        <v>49207</v>
      </c>
      <c r="D39" s="79">
        <v>67658</v>
      </c>
      <c r="E39" s="78">
        <f>1505088+42000</f>
        <v>1547088</v>
      </c>
      <c r="F39" s="415">
        <v>1560777</v>
      </c>
      <c r="G39" s="415">
        <v>332007</v>
      </c>
      <c r="H39" s="253">
        <f t="shared" si="2"/>
        <v>21.27190495503201</v>
      </c>
      <c r="L39" s="255"/>
    </row>
    <row r="40" spans="1:8" ht="12" customHeight="1">
      <c r="A40" s="69" t="s">
        <v>135</v>
      </c>
      <c r="B40" s="248" t="s">
        <v>136</v>
      </c>
      <c r="C40" s="73">
        <v>10528</v>
      </c>
      <c r="D40" s="74">
        <v>39385</v>
      </c>
      <c r="E40" s="73">
        <v>9800</v>
      </c>
      <c r="F40" s="416">
        <v>9800</v>
      </c>
      <c r="G40" s="416">
        <v>6078</v>
      </c>
      <c r="H40" s="254">
        <f t="shared" si="2"/>
        <v>62.02040816326531</v>
      </c>
    </row>
    <row r="41" spans="1:8" ht="12" customHeight="1" thickBot="1">
      <c r="A41" s="69" t="s">
        <v>137</v>
      </c>
      <c r="B41" s="256"/>
      <c r="C41" s="83"/>
      <c r="D41" s="84"/>
      <c r="E41" s="83"/>
      <c r="F41" s="418"/>
      <c r="G41" s="418"/>
      <c r="H41" s="257"/>
    </row>
    <row r="42" spans="1:8" ht="18.75" customHeight="1" thickBot="1">
      <c r="A42" s="69" t="s">
        <v>138</v>
      </c>
      <c r="B42" s="258" t="s">
        <v>139</v>
      </c>
      <c r="C42" s="259">
        <f>SUM(C5+C17+C27+C32+C37+C40)</f>
        <v>9135228</v>
      </c>
      <c r="D42" s="260">
        <f>SUM(D5+D17+D27+D32+D37+D40)</f>
        <v>9425152</v>
      </c>
      <c r="E42" s="259">
        <f>SUM(E5+E17+E27+E32+E37+E40)</f>
        <v>9811869</v>
      </c>
      <c r="F42" s="441">
        <f>SUM(F5+F17+F27+F32+F37+F40)</f>
        <v>10333550</v>
      </c>
      <c r="G42" s="441">
        <f>SUM(G5+G17+G27+G32+G37+G40)</f>
        <v>7282082</v>
      </c>
      <c r="H42" s="261">
        <f>G42/F42*100</f>
        <v>70.4702836876001</v>
      </c>
    </row>
    <row r="43" spans="1:8" ht="12" customHeight="1">
      <c r="A43" s="69" t="s">
        <v>140</v>
      </c>
      <c r="B43" s="434" t="s">
        <v>141</v>
      </c>
      <c r="C43" s="86">
        <f>SUM(C44:C45)</f>
        <v>562051</v>
      </c>
      <c r="D43" s="87">
        <f>SUM(D44:D45)</f>
        <v>826967</v>
      </c>
      <c r="E43" s="86">
        <f>SUM(E44:E45)</f>
        <v>228411</v>
      </c>
      <c r="F43" s="417">
        <f>SUM(F44:F45)</f>
        <v>1915978</v>
      </c>
      <c r="G43" s="417">
        <f>SUM(G44:G45)</f>
        <v>1055415</v>
      </c>
      <c r="H43" s="435">
        <f>G43/F43*100</f>
        <v>55.08492268700371</v>
      </c>
    </row>
    <row r="44" spans="1:8" ht="12" customHeight="1">
      <c r="A44" s="69" t="s">
        <v>142</v>
      </c>
      <c r="B44" s="252" t="s">
        <v>450</v>
      </c>
      <c r="C44" s="78">
        <v>357051</v>
      </c>
      <c r="D44" s="79">
        <v>421887</v>
      </c>
      <c r="E44" s="73"/>
      <c r="F44" s="415">
        <v>340927</v>
      </c>
      <c r="G44" s="415">
        <v>314025</v>
      </c>
      <c r="H44" s="254">
        <f>G44/F44*100</f>
        <v>92.1091611987317</v>
      </c>
    </row>
    <row r="45" spans="1:8" ht="12" customHeight="1">
      <c r="A45" s="69" t="s">
        <v>143</v>
      </c>
      <c r="B45" s="252" t="s">
        <v>451</v>
      </c>
      <c r="C45" s="78">
        <v>205000</v>
      </c>
      <c r="D45" s="79">
        <v>405080</v>
      </c>
      <c r="E45" s="78">
        <v>228411</v>
      </c>
      <c r="F45" s="415">
        <f>228411+320+18000+602115+726205</f>
        <v>1575051</v>
      </c>
      <c r="G45" s="415">
        <v>741390</v>
      </c>
      <c r="H45" s="254">
        <f>G45/F45*100</f>
        <v>47.070856753209895</v>
      </c>
    </row>
    <row r="46" spans="1:8" ht="12" customHeight="1">
      <c r="A46" s="69" t="s">
        <v>144</v>
      </c>
      <c r="B46" s="252" t="s">
        <v>449</v>
      </c>
      <c r="C46" s="73"/>
      <c r="D46" s="79"/>
      <c r="E46" s="78"/>
      <c r="F46" s="415"/>
      <c r="G46" s="415"/>
      <c r="H46" s="254"/>
    </row>
    <row r="47" spans="1:8" ht="12" customHeight="1">
      <c r="A47" s="69" t="s">
        <v>145</v>
      </c>
      <c r="B47" s="252"/>
      <c r="C47" s="73"/>
      <c r="D47" s="79"/>
      <c r="E47" s="78"/>
      <c r="F47" s="415"/>
      <c r="G47" s="415"/>
      <c r="H47" s="254"/>
    </row>
    <row r="48" spans="1:8" ht="12" customHeight="1">
      <c r="A48" s="69" t="s">
        <v>146</v>
      </c>
      <c r="B48" s="248" t="s">
        <v>147</v>
      </c>
      <c r="C48" s="73"/>
      <c r="D48" s="74">
        <f>SUM(D49:D50)</f>
        <v>59094</v>
      </c>
      <c r="E48" s="73"/>
      <c r="F48" s="416"/>
      <c r="G48" s="416"/>
      <c r="H48" s="254"/>
    </row>
    <row r="49" spans="1:8" ht="12" customHeight="1">
      <c r="A49" s="69" t="s">
        <v>148</v>
      </c>
      <c r="B49" s="252" t="s">
        <v>149</v>
      </c>
      <c r="C49" s="78"/>
      <c r="D49" s="79"/>
      <c r="E49" s="78"/>
      <c r="F49" s="415"/>
      <c r="G49" s="415"/>
      <c r="H49" s="254"/>
    </row>
    <row r="50" spans="1:8" ht="12" customHeight="1">
      <c r="A50" s="69" t="s">
        <v>150</v>
      </c>
      <c r="B50" s="252" t="s">
        <v>151</v>
      </c>
      <c r="C50" s="78"/>
      <c r="D50" s="79">
        <v>59094</v>
      </c>
      <c r="E50" s="78"/>
      <c r="F50" s="415"/>
      <c r="G50" s="415"/>
      <c r="H50" s="254"/>
    </row>
    <row r="51" spans="1:8" ht="12" customHeight="1">
      <c r="A51" s="69" t="s">
        <v>152</v>
      </c>
      <c r="B51" s="248" t="s">
        <v>153</v>
      </c>
      <c r="C51" s="73">
        <v>1056080</v>
      </c>
      <c r="D51" s="74"/>
      <c r="E51" s="73"/>
      <c r="F51" s="416"/>
      <c r="G51" s="416"/>
      <c r="H51" s="254"/>
    </row>
    <row r="52" spans="1:8" ht="12" customHeight="1">
      <c r="A52" s="69" t="s">
        <v>154</v>
      </c>
      <c r="B52" s="248" t="s">
        <v>155</v>
      </c>
      <c r="C52" s="73">
        <f>SUM(C53:C55)</f>
        <v>88279</v>
      </c>
      <c r="D52" s="74">
        <f>SUM(D53:D55)</f>
        <v>170000</v>
      </c>
      <c r="E52" s="73">
        <f>SUM(E53:E55)</f>
        <v>610951</v>
      </c>
      <c r="F52" s="416">
        <f>SUM(F53:F55)</f>
        <v>662328</v>
      </c>
      <c r="G52" s="416">
        <f>SUM(G53:G55)</f>
        <v>1787781</v>
      </c>
      <c r="H52" s="254">
        <f>G52/F52*100</f>
        <v>269.92381418270105</v>
      </c>
    </row>
    <row r="53" spans="1:8" ht="12" customHeight="1">
      <c r="A53" s="69" t="s">
        <v>156</v>
      </c>
      <c r="B53" s="252" t="s">
        <v>157</v>
      </c>
      <c r="C53" s="78"/>
      <c r="D53" s="79">
        <v>170000</v>
      </c>
      <c r="E53" s="78"/>
      <c r="F53" s="415"/>
      <c r="G53" s="415"/>
      <c r="H53" s="254"/>
    </row>
    <row r="54" spans="1:8" ht="12" customHeight="1">
      <c r="A54" s="69" t="s">
        <v>158</v>
      </c>
      <c r="B54" s="252" t="s">
        <v>159</v>
      </c>
      <c r="C54" s="78">
        <v>88279</v>
      </c>
      <c r="D54" s="79"/>
      <c r="E54" s="78">
        <f>248374+362577</f>
        <v>610951</v>
      </c>
      <c r="F54" s="415">
        <f>698390-36062</f>
        <v>662328</v>
      </c>
      <c r="G54" s="415">
        <v>1787781</v>
      </c>
      <c r="H54" s="254">
        <f>G54/F54*100</f>
        <v>269.92381418270105</v>
      </c>
    </row>
    <row r="55" spans="1:8" ht="12" customHeight="1">
      <c r="A55" s="69" t="s">
        <v>160</v>
      </c>
      <c r="B55" s="252" t="s">
        <v>161</v>
      </c>
      <c r="C55" s="78"/>
      <c r="D55" s="79"/>
      <c r="E55" s="78"/>
      <c r="F55" s="415"/>
      <c r="G55" s="415"/>
      <c r="H55" s="254"/>
    </row>
    <row r="56" spans="1:8" ht="12" customHeight="1">
      <c r="A56" s="69" t="s">
        <v>162</v>
      </c>
      <c r="B56" s="248" t="s">
        <v>163</v>
      </c>
      <c r="C56" s="73">
        <v>3864</v>
      </c>
      <c r="D56" s="74">
        <v>-106019</v>
      </c>
      <c r="E56" s="78"/>
      <c r="F56" s="415"/>
      <c r="G56" s="416">
        <v>-98312</v>
      </c>
      <c r="H56" s="262"/>
    </row>
    <row r="57" spans="1:8" ht="12" customHeight="1" thickBot="1">
      <c r="A57" s="69" t="s">
        <v>164</v>
      </c>
      <c r="B57" s="256"/>
      <c r="C57" s="101"/>
      <c r="D57" s="102"/>
      <c r="E57" s="101"/>
      <c r="F57" s="414"/>
      <c r="G57" s="414"/>
      <c r="H57" s="433"/>
    </row>
    <row r="58" spans="1:8" ht="22.5" customHeight="1" thickBot="1">
      <c r="A58" s="69" t="s">
        <v>165</v>
      </c>
      <c r="B58" s="354" t="s">
        <v>166</v>
      </c>
      <c r="C58" s="355">
        <f>SUM(C48+C51+C52+C56)</f>
        <v>1148223</v>
      </c>
      <c r="D58" s="356">
        <f>SUM(D48+D51+D52+D56)</f>
        <v>123075</v>
      </c>
      <c r="E58" s="355">
        <f>SUM(E48+E51+E52+E56)</f>
        <v>610951</v>
      </c>
      <c r="F58" s="442">
        <f>SUM(F48+F51+F52+F56)</f>
        <v>662328</v>
      </c>
      <c r="G58" s="444">
        <f>SUM(G48+G51+G52+G56)</f>
        <v>1689469</v>
      </c>
      <c r="H58" s="357">
        <f>G58/F58*100</f>
        <v>255.0804133299513</v>
      </c>
    </row>
    <row r="59" spans="1:8" ht="15.75" customHeight="1" thickBot="1">
      <c r="A59" s="89" t="s">
        <v>167</v>
      </c>
      <c r="B59" s="264" t="s">
        <v>168</v>
      </c>
      <c r="C59" s="265">
        <f>SUM(C42+C43+C58)</f>
        <v>10845502</v>
      </c>
      <c r="D59" s="266">
        <f>SUM(D42+D43+D58)</f>
        <v>10375194</v>
      </c>
      <c r="E59" s="265">
        <f>SUM(E42+E43+E58)</f>
        <v>10651231</v>
      </c>
      <c r="F59" s="420">
        <f>SUM(F42+F43+F58)</f>
        <v>12911856</v>
      </c>
      <c r="G59" s="420">
        <f>SUM(G42+G43+G58)</f>
        <v>10026966</v>
      </c>
      <c r="H59" s="263">
        <f>G59/F59*100</f>
        <v>77.65704636111184</v>
      </c>
    </row>
    <row r="60" spans="1:7" ht="12.75">
      <c r="A60" s="90"/>
      <c r="C60" s="91"/>
      <c r="D60" s="91"/>
      <c r="E60" s="91"/>
      <c r="G60" s="366"/>
    </row>
    <row r="61" spans="1:7" ht="15">
      <c r="A61" s="535" t="s">
        <v>169</v>
      </c>
      <c r="B61" s="535"/>
      <c r="C61" s="535"/>
      <c r="D61" s="535"/>
      <c r="E61" s="535"/>
      <c r="G61" s="366"/>
    </row>
    <row r="62" spans="1:5" ht="13.5" thickBot="1">
      <c r="A62" s="90"/>
      <c r="B62" s="5"/>
      <c r="C62" s="92"/>
      <c r="D62" s="62" t="s">
        <v>90</v>
      </c>
      <c r="E62" s="92"/>
    </row>
    <row r="63" spans="1:8" ht="13.5" thickBot="1">
      <c r="A63" s="93"/>
      <c r="B63" s="94" t="s">
        <v>1</v>
      </c>
      <c r="C63" s="95" t="s">
        <v>2</v>
      </c>
      <c r="D63" s="95" t="s">
        <v>56</v>
      </c>
      <c r="E63" s="96" t="s">
        <v>57</v>
      </c>
      <c r="F63" s="96" t="s">
        <v>58</v>
      </c>
      <c r="G63" s="96" t="s">
        <v>59</v>
      </c>
      <c r="H63" s="276" t="s">
        <v>60</v>
      </c>
    </row>
    <row r="64" spans="1:8" ht="22.5" customHeight="1" thickBot="1">
      <c r="A64" s="97"/>
      <c r="B64" s="65" t="s">
        <v>170</v>
      </c>
      <c r="C64" s="66" t="s">
        <v>92</v>
      </c>
      <c r="D64" s="67" t="s">
        <v>93</v>
      </c>
      <c r="E64" s="66" t="s">
        <v>94</v>
      </c>
      <c r="F64" s="245" t="s">
        <v>478</v>
      </c>
      <c r="G64" s="245" t="s">
        <v>479</v>
      </c>
      <c r="H64" s="274" t="s">
        <v>452</v>
      </c>
    </row>
    <row r="65" spans="1:8" ht="12.75">
      <c r="A65" s="98" t="s">
        <v>171</v>
      </c>
      <c r="B65" s="85" t="s">
        <v>172</v>
      </c>
      <c r="C65" s="88">
        <f>SUM(C66:C70)</f>
        <v>8433948</v>
      </c>
      <c r="D65" s="87">
        <f>SUM(D66:D70)</f>
        <v>8603299</v>
      </c>
      <c r="E65" s="86">
        <f>SUM(E66:E70)</f>
        <v>7889145</v>
      </c>
      <c r="F65" s="410">
        <f>SUM(F66:F70)</f>
        <v>8726814</v>
      </c>
      <c r="G65" s="423">
        <f>SUM(G66:G70)</f>
        <v>5726737</v>
      </c>
      <c r="H65" s="88">
        <f aca="true" t="shared" si="3" ref="H65:H80">G65/F65*100</f>
        <v>65.62231073104114</v>
      </c>
    </row>
    <row r="66" spans="1:11" ht="12.75">
      <c r="A66" s="98" t="s">
        <v>173</v>
      </c>
      <c r="B66" s="77" t="s">
        <v>174</v>
      </c>
      <c r="C66" s="79">
        <v>3168937</v>
      </c>
      <c r="D66" s="79">
        <v>3170704</v>
      </c>
      <c r="E66" s="78">
        <v>2848571</v>
      </c>
      <c r="F66" s="411">
        <f>2980096+70834</f>
        <v>3050930</v>
      </c>
      <c r="G66" s="424">
        <v>2142622</v>
      </c>
      <c r="H66" s="75">
        <f t="shared" si="3"/>
        <v>70.22848770702704</v>
      </c>
      <c r="I66" s="255"/>
      <c r="K66" s="255"/>
    </row>
    <row r="67" spans="1:8" ht="12.75">
      <c r="A67" s="98" t="s">
        <v>175</v>
      </c>
      <c r="B67" s="77" t="s">
        <v>176</v>
      </c>
      <c r="C67" s="79">
        <v>3680236</v>
      </c>
      <c r="D67" s="79">
        <v>3859743</v>
      </c>
      <c r="E67" s="78">
        <v>3844000</v>
      </c>
      <c r="F67" s="412">
        <f>3844000+304723+10780</f>
        <v>4159503</v>
      </c>
      <c r="G67" s="424">
        <v>2701216</v>
      </c>
      <c r="H67" s="75">
        <f t="shared" si="3"/>
        <v>64.9408354796234</v>
      </c>
    </row>
    <row r="68" spans="1:8" ht="12.75">
      <c r="A68" s="98" t="s">
        <v>177</v>
      </c>
      <c r="B68" s="77" t="s">
        <v>178</v>
      </c>
      <c r="C68" s="79">
        <f>1480204+91110+10000</f>
        <v>1581314</v>
      </c>
      <c r="D68" s="79">
        <v>1570304</v>
      </c>
      <c r="E68" s="78">
        <v>1194304</v>
      </c>
      <c r="F68" s="413">
        <f>1520724+20000-26984</f>
        <v>1513740</v>
      </c>
      <c r="G68" s="424">
        <f>973453-89757-2805</f>
        <v>880891</v>
      </c>
      <c r="H68" s="75">
        <f t="shared" si="3"/>
        <v>58.1930186161428</v>
      </c>
    </row>
    <row r="69" spans="1:8" ht="12.75">
      <c r="A69" s="98" t="s">
        <v>179</v>
      </c>
      <c r="B69" s="77" t="s">
        <v>180</v>
      </c>
      <c r="C69" s="78">
        <v>2604</v>
      </c>
      <c r="D69" s="79">
        <v>2054</v>
      </c>
      <c r="E69" s="78">
        <v>2010</v>
      </c>
      <c r="F69" s="414">
        <v>2169</v>
      </c>
      <c r="G69" s="424">
        <v>1696</v>
      </c>
      <c r="H69" s="75">
        <f t="shared" si="3"/>
        <v>78.19271553711388</v>
      </c>
    </row>
    <row r="70" spans="1:8" ht="12.75">
      <c r="A70" s="98" t="s">
        <v>181</v>
      </c>
      <c r="B70" s="77" t="s">
        <v>182</v>
      </c>
      <c r="C70" s="78">
        <v>857</v>
      </c>
      <c r="D70" s="79">
        <v>494</v>
      </c>
      <c r="E70" s="78">
        <v>260</v>
      </c>
      <c r="F70" s="411">
        <v>472</v>
      </c>
      <c r="G70" s="424">
        <v>312</v>
      </c>
      <c r="H70" s="75">
        <f t="shared" si="3"/>
        <v>66.10169491525424</v>
      </c>
    </row>
    <row r="71" spans="1:8" ht="12.75">
      <c r="A71" s="98" t="s">
        <v>183</v>
      </c>
      <c r="B71" s="77" t="s">
        <v>184</v>
      </c>
      <c r="C71" s="78"/>
      <c r="D71" s="79"/>
      <c r="E71" s="78"/>
      <c r="F71" s="412"/>
      <c r="G71" s="424"/>
      <c r="H71" s="75"/>
    </row>
    <row r="72" spans="1:8" ht="12.75">
      <c r="A72" s="98" t="s">
        <v>185</v>
      </c>
      <c r="B72" s="77" t="s">
        <v>186</v>
      </c>
      <c r="C72" s="79">
        <v>4191497</v>
      </c>
      <c r="D72" s="79">
        <f>4372016+918</f>
        <v>4372934</v>
      </c>
      <c r="E72" s="78">
        <v>4023404</v>
      </c>
      <c r="F72" s="415">
        <f>4023404+26112+99665</f>
        <v>4149181</v>
      </c>
      <c r="G72" s="424">
        <v>2966339</v>
      </c>
      <c r="H72" s="75">
        <f t="shared" si="3"/>
        <v>71.49215712691252</v>
      </c>
    </row>
    <row r="73" spans="1:8" ht="12.75">
      <c r="A73" s="98" t="s">
        <v>187</v>
      </c>
      <c r="B73" s="77" t="s">
        <v>188</v>
      </c>
      <c r="C73" s="79">
        <v>1224632</v>
      </c>
      <c r="D73" s="79">
        <f>1101181+248</f>
        <v>1101429</v>
      </c>
      <c r="E73" s="78">
        <v>1093211</v>
      </c>
      <c r="F73" s="415">
        <f>1093211+5252+20702</f>
        <v>1119165</v>
      </c>
      <c r="G73" s="424">
        <v>768177</v>
      </c>
      <c r="H73" s="75">
        <f t="shared" si="3"/>
        <v>68.63840452480197</v>
      </c>
    </row>
    <row r="74" spans="1:8" ht="12.75">
      <c r="A74" s="98" t="s">
        <v>189</v>
      </c>
      <c r="B74" s="77" t="s">
        <v>190</v>
      </c>
      <c r="C74" s="79">
        <v>58452</v>
      </c>
      <c r="D74" s="79">
        <v>66801</v>
      </c>
      <c r="E74" s="78">
        <v>42116</v>
      </c>
      <c r="F74" s="415">
        <f>42116+10490</f>
        <v>52606</v>
      </c>
      <c r="G74" s="424">
        <v>46613</v>
      </c>
      <c r="H74" s="75">
        <f t="shared" si="3"/>
        <v>88.60776337299929</v>
      </c>
    </row>
    <row r="75" spans="1:8" ht="12.75">
      <c r="A75" s="98" t="s">
        <v>191</v>
      </c>
      <c r="B75" s="77" t="s">
        <v>192</v>
      </c>
      <c r="C75" s="79">
        <v>2401761</v>
      </c>
      <c r="D75" s="79">
        <f>2483459+1357</f>
        <v>2484816</v>
      </c>
      <c r="E75" s="78">
        <f>2227604-5000</f>
        <v>2222604</v>
      </c>
      <c r="F75" s="415">
        <f>2970866-39760-65737</f>
        <v>2865369</v>
      </c>
      <c r="G75" s="424">
        <v>1639651</v>
      </c>
      <c r="H75" s="75">
        <f t="shared" si="3"/>
        <v>57.22303130940553</v>
      </c>
    </row>
    <row r="76" spans="1:8" ht="12.75">
      <c r="A76" s="98" t="s">
        <v>193</v>
      </c>
      <c r="B76" s="77" t="s">
        <v>194</v>
      </c>
      <c r="C76" s="79">
        <v>17768</v>
      </c>
      <c r="D76" s="79">
        <v>14653</v>
      </c>
      <c r="E76" s="78">
        <v>47000</v>
      </c>
      <c r="F76" s="415">
        <v>47000</v>
      </c>
      <c r="G76" s="424">
        <v>10296</v>
      </c>
      <c r="H76" s="75">
        <f t="shared" si="3"/>
        <v>21.906382978723403</v>
      </c>
    </row>
    <row r="77" spans="1:8" ht="12.75">
      <c r="A77" s="98" t="s">
        <v>195</v>
      </c>
      <c r="B77" s="77" t="s">
        <v>196</v>
      </c>
      <c r="C77" s="78">
        <v>91110</v>
      </c>
      <c r="D77" s="79">
        <f>31441+90499</f>
        <v>121940</v>
      </c>
      <c r="E77" s="78">
        <v>70000</v>
      </c>
      <c r="F77" s="415">
        <v>70575</v>
      </c>
      <c r="G77" s="424">
        <f>29492+992</f>
        <v>30484</v>
      </c>
      <c r="H77" s="75">
        <f t="shared" si="3"/>
        <v>43.193765497697484</v>
      </c>
    </row>
    <row r="78" spans="1:8" ht="12.75">
      <c r="A78" s="98" t="s">
        <v>197</v>
      </c>
      <c r="B78" s="77" t="s">
        <v>198</v>
      </c>
      <c r="C78" s="78">
        <f>155100-210-128247</f>
        <v>26643</v>
      </c>
      <c r="D78" s="79">
        <v>95089</v>
      </c>
      <c r="E78" s="78">
        <f>3000+500+100+13300</f>
        <v>16900</v>
      </c>
      <c r="F78" s="415">
        <f>19060+2420</f>
        <v>21480</v>
      </c>
      <c r="G78" s="424">
        <v>25361</v>
      </c>
      <c r="H78" s="75">
        <f t="shared" si="3"/>
        <v>118.06797020484171</v>
      </c>
    </row>
    <row r="79" spans="1:8" ht="12.75">
      <c r="A79" s="98" t="s">
        <v>199</v>
      </c>
      <c r="B79" s="99" t="s">
        <v>200</v>
      </c>
      <c r="C79" s="78">
        <v>293838</v>
      </c>
      <c r="D79" s="79">
        <v>280637</v>
      </c>
      <c r="E79" s="78">
        <v>373910</v>
      </c>
      <c r="F79" s="415">
        <f>373910+7528</f>
        <v>381438</v>
      </c>
      <c r="G79" s="424">
        <v>239816</v>
      </c>
      <c r="H79" s="75">
        <f t="shared" si="3"/>
        <v>62.87155448591908</v>
      </c>
    </row>
    <row r="80" spans="1:8" ht="12.75">
      <c r="A80" s="98" t="s">
        <v>201</v>
      </c>
      <c r="B80" s="99" t="s">
        <v>202</v>
      </c>
      <c r="C80" s="100"/>
      <c r="D80" s="79">
        <v>65000</v>
      </c>
      <c r="E80" s="78"/>
      <c r="F80" s="415">
        <v>20000</v>
      </c>
      <c r="G80" s="424"/>
      <c r="H80" s="75">
        <f t="shared" si="3"/>
        <v>0</v>
      </c>
    </row>
    <row r="81" spans="1:8" ht="12.75">
      <c r="A81" s="98" t="s">
        <v>203</v>
      </c>
      <c r="B81" s="99" t="s">
        <v>204</v>
      </c>
      <c r="C81" s="78">
        <v>128247</v>
      </c>
      <c r="D81" s="79"/>
      <c r="E81" s="78"/>
      <c r="F81" s="415"/>
      <c r="G81" s="424"/>
      <c r="H81" s="75"/>
    </row>
    <row r="82" spans="1:8" ht="12.75">
      <c r="A82" s="98" t="s">
        <v>205</v>
      </c>
      <c r="B82" s="99" t="s">
        <v>206</v>
      </c>
      <c r="C82" s="78"/>
      <c r="D82" s="79"/>
      <c r="E82" s="78"/>
      <c r="F82" s="415"/>
      <c r="G82" s="424"/>
      <c r="H82" s="75"/>
    </row>
    <row r="83" spans="1:8" ht="12.75">
      <c r="A83" s="98" t="s">
        <v>207</v>
      </c>
      <c r="B83" s="99"/>
      <c r="C83" s="79"/>
      <c r="D83" s="79"/>
      <c r="E83" s="78"/>
      <c r="F83" s="415"/>
      <c r="G83" s="424"/>
      <c r="H83" s="75"/>
    </row>
    <row r="84" spans="1:8" ht="12.75">
      <c r="A84" s="98" t="s">
        <v>208</v>
      </c>
      <c r="B84" s="72" t="s">
        <v>209</v>
      </c>
      <c r="C84" s="76">
        <f>SUM(C85:C91)</f>
        <v>238531</v>
      </c>
      <c r="D84" s="74">
        <f>SUM(D85:D91)</f>
        <v>506417</v>
      </c>
      <c r="E84" s="73">
        <f>SUM(E85:E91)</f>
        <v>2138676</v>
      </c>
      <c r="F84" s="416">
        <f>SUM(F85:F91)</f>
        <v>2846530</v>
      </c>
      <c r="G84" s="425">
        <f>SUM(G85:G91)</f>
        <v>812133</v>
      </c>
      <c r="H84" s="76">
        <f>G84/F84*100</f>
        <v>28.53063203268541</v>
      </c>
    </row>
    <row r="85" spans="1:8" ht="12.75">
      <c r="A85" s="98" t="s">
        <v>210</v>
      </c>
      <c r="B85" s="77" t="s">
        <v>211</v>
      </c>
      <c r="C85" s="78">
        <v>199014</v>
      </c>
      <c r="D85" s="79">
        <v>438870</v>
      </c>
      <c r="E85" s="78">
        <f>1401110+325831+15325-39760</f>
        <v>1702506</v>
      </c>
      <c r="F85" s="415">
        <f>2039798+211</f>
        <v>2040009</v>
      </c>
      <c r="G85" s="424">
        <v>699634</v>
      </c>
      <c r="H85" s="75">
        <f>G85/F85*100</f>
        <v>34.295633009462215</v>
      </c>
    </row>
    <row r="86" spans="1:8" ht="12.75">
      <c r="A86" s="98" t="s">
        <v>212</v>
      </c>
      <c r="B86" s="77" t="s">
        <v>213</v>
      </c>
      <c r="C86" s="78">
        <v>28695</v>
      </c>
      <c r="D86" s="79"/>
      <c r="E86" s="78">
        <f>26410+300000+15000</f>
        <v>341410</v>
      </c>
      <c r="F86" s="415">
        <f>689303+22458</f>
        <v>711761</v>
      </c>
      <c r="G86" s="424">
        <v>17537</v>
      </c>
      <c r="H86" s="75">
        <f>G86/F86*100</f>
        <v>2.463888861570106</v>
      </c>
    </row>
    <row r="87" spans="1:8" ht="12.75">
      <c r="A87" s="98" t="s">
        <v>214</v>
      </c>
      <c r="B87" s="99" t="s">
        <v>215</v>
      </c>
      <c r="C87" s="78"/>
      <c r="D87" s="79"/>
      <c r="E87" s="78">
        <v>50000</v>
      </c>
      <c r="F87" s="415">
        <v>50000</v>
      </c>
      <c r="G87" s="424">
        <v>89757</v>
      </c>
      <c r="H87" s="75">
        <f>G87/F87*100</f>
        <v>179.514</v>
      </c>
    </row>
    <row r="88" spans="1:8" ht="12.75">
      <c r="A88" s="98" t="s">
        <v>216</v>
      </c>
      <c r="B88" s="77" t="s">
        <v>217</v>
      </c>
      <c r="C88" s="79">
        <v>210</v>
      </c>
      <c r="D88" s="79">
        <v>2226</v>
      </c>
      <c r="E88" s="78"/>
      <c r="F88" s="415"/>
      <c r="G88" s="424"/>
      <c r="H88" s="75"/>
    </row>
    <row r="89" spans="1:8" ht="12.75">
      <c r="A89" s="98" t="s">
        <v>218</v>
      </c>
      <c r="B89" s="99" t="s">
        <v>219</v>
      </c>
      <c r="C89" s="78"/>
      <c r="D89" s="79">
        <v>4100</v>
      </c>
      <c r="E89" s="78">
        <v>5000</v>
      </c>
      <c r="F89" s="415">
        <v>5000</v>
      </c>
      <c r="G89" s="424">
        <v>1800</v>
      </c>
      <c r="H89" s="75">
        <f>G89/F89*100</f>
        <v>36</v>
      </c>
    </row>
    <row r="90" spans="1:8" ht="12.75">
      <c r="A90" s="98" t="s">
        <v>220</v>
      </c>
      <c r="B90" s="77" t="s">
        <v>221</v>
      </c>
      <c r="C90" s="78">
        <f>10822-210</f>
        <v>10612</v>
      </c>
      <c r="D90" s="79"/>
      <c r="E90" s="78">
        <f>39760</f>
        <v>39760</v>
      </c>
      <c r="F90" s="415">
        <v>39760</v>
      </c>
      <c r="G90" s="424">
        <f>2805+600</f>
        <v>3405</v>
      </c>
      <c r="H90" s="75">
        <f>G90/F90*100</f>
        <v>8.563883299798793</v>
      </c>
    </row>
    <row r="91" spans="1:8" ht="12.75">
      <c r="A91" s="98" t="s">
        <v>222</v>
      </c>
      <c r="B91" s="99" t="s">
        <v>223</v>
      </c>
      <c r="C91" s="74"/>
      <c r="D91" s="79">
        <v>61221</v>
      </c>
      <c r="E91" s="78"/>
      <c r="F91" s="415"/>
      <c r="G91" s="424"/>
      <c r="H91" s="75"/>
    </row>
    <row r="92" spans="1:8" ht="12.75">
      <c r="A92" s="98" t="s">
        <v>224</v>
      </c>
      <c r="B92" s="99" t="s">
        <v>225</v>
      </c>
      <c r="C92" s="74"/>
      <c r="D92" s="79"/>
      <c r="E92" s="78"/>
      <c r="F92" s="415"/>
      <c r="G92" s="424"/>
      <c r="H92" s="75"/>
    </row>
    <row r="93" spans="1:8" ht="12.75">
      <c r="A93" s="98" t="s">
        <v>226</v>
      </c>
      <c r="B93" s="99"/>
      <c r="C93" s="74"/>
      <c r="D93" s="79"/>
      <c r="E93" s="78"/>
      <c r="F93" s="415"/>
      <c r="G93" s="424"/>
      <c r="H93" s="75"/>
    </row>
    <row r="94" spans="1:8" ht="12.75">
      <c r="A94" s="98" t="s">
        <v>227</v>
      </c>
      <c r="B94" s="72" t="s">
        <v>228</v>
      </c>
      <c r="C94" s="73">
        <f>C95+C96+C98</f>
        <v>0</v>
      </c>
      <c r="D94" s="74">
        <f>D95+D96+D98</f>
        <v>0</v>
      </c>
      <c r="E94" s="73">
        <f>E95+E96+E98</f>
        <v>5000</v>
      </c>
      <c r="F94" s="416">
        <f>SUM(F95:F97)</f>
        <v>720102</v>
      </c>
      <c r="G94" s="425">
        <f>SUM(G95:G97)</f>
        <v>0</v>
      </c>
      <c r="H94" s="76"/>
    </row>
    <row r="95" spans="1:8" ht="12.75">
      <c r="A95" s="98" t="s">
        <v>229</v>
      </c>
      <c r="B95" s="77" t="s">
        <v>230</v>
      </c>
      <c r="C95" s="78"/>
      <c r="D95" s="79"/>
      <c r="E95" s="78"/>
      <c r="F95" s="415"/>
      <c r="G95" s="424"/>
      <c r="H95" s="75"/>
    </row>
    <row r="96" spans="1:8" ht="12.75">
      <c r="A96" s="98" t="s">
        <v>231</v>
      </c>
      <c r="B96" s="77" t="s">
        <v>232</v>
      </c>
      <c r="C96" s="78"/>
      <c r="D96" s="79"/>
      <c r="E96" s="78">
        <v>5000</v>
      </c>
      <c r="F96" s="415">
        <v>5000</v>
      </c>
      <c r="G96" s="424"/>
      <c r="H96" s="75"/>
    </row>
    <row r="97" spans="1:8" ht="12.75">
      <c r="A97" s="98" t="s">
        <v>233</v>
      </c>
      <c r="B97" s="77" t="s">
        <v>234</v>
      </c>
      <c r="C97" s="78"/>
      <c r="D97" s="79"/>
      <c r="E97" s="78"/>
      <c r="F97" s="415">
        <f>719594-4492</f>
        <v>715102</v>
      </c>
      <c r="G97" s="424"/>
      <c r="H97" s="75"/>
    </row>
    <row r="98" spans="1:8" ht="13.5" thickBot="1">
      <c r="A98" s="98" t="s">
        <v>235</v>
      </c>
      <c r="B98" s="82" t="s">
        <v>236</v>
      </c>
      <c r="C98" s="101"/>
      <c r="D98" s="102"/>
      <c r="E98" s="101"/>
      <c r="F98" s="414"/>
      <c r="G98" s="426"/>
      <c r="H98" s="106"/>
    </row>
    <row r="99" spans="1:8" ht="18.75" customHeight="1" thickBot="1">
      <c r="A99" s="69" t="s">
        <v>237</v>
      </c>
      <c r="B99" s="258" t="s">
        <v>238</v>
      </c>
      <c r="C99" s="436">
        <f>SUM(C65+C84+C94+C98)</f>
        <v>8672479</v>
      </c>
      <c r="D99" s="436">
        <f>SUM(D65+D84+D94+D98)</f>
        <v>9109716</v>
      </c>
      <c r="E99" s="437">
        <f>SUM(E65+E84+E94+E98)</f>
        <v>10032821</v>
      </c>
      <c r="F99" s="438">
        <f>SUM(F65+F84+F94+F98)</f>
        <v>12293446</v>
      </c>
      <c r="G99" s="439">
        <f>SUM(G65+G84+G94+G98)</f>
        <v>6538870</v>
      </c>
      <c r="H99" s="261">
        <f>G99/F99*100</f>
        <v>53.18988670873895</v>
      </c>
    </row>
    <row r="100" spans="1:8" ht="12.75">
      <c r="A100" s="98" t="s">
        <v>239</v>
      </c>
      <c r="B100" s="85" t="s">
        <v>240</v>
      </c>
      <c r="C100" s="86">
        <f>SUM(C101:C104)</f>
        <v>179859</v>
      </c>
      <c r="D100" s="87">
        <f>SUM(D101:D104)</f>
        <v>141194</v>
      </c>
      <c r="E100" s="86">
        <f>SUM(E101:E104)</f>
        <v>618410</v>
      </c>
      <c r="F100" s="417">
        <f>SUM(F101:F104)</f>
        <v>618410</v>
      </c>
      <c r="G100" s="427">
        <f>SUM(G101:G104)</f>
        <v>2135848</v>
      </c>
      <c r="H100" s="88">
        <f>G100/F100*100</f>
        <v>345.3773386588186</v>
      </c>
    </row>
    <row r="101" spans="1:8" ht="12.75">
      <c r="A101" s="98" t="s">
        <v>241</v>
      </c>
      <c r="B101" s="77" t="s">
        <v>242</v>
      </c>
      <c r="C101" s="79">
        <f>167499+12360</f>
        <v>179859</v>
      </c>
      <c r="D101" s="79">
        <v>90861</v>
      </c>
      <c r="E101" s="78">
        <f>90187+2009</f>
        <v>92196</v>
      </c>
      <c r="F101" s="415">
        <v>92196</v>
      </c>
      <c r="G101" s="424">
        <v>68223</v>
      </c>
      <c r="H101" s="103">
        <f>G101/F101*100</f>
        <v>73.99778732266043</v>
      </c>
    </row>
    <row r="102" spans="1:8" ht="12.75">
      <c r="A102" s="98" t="s">
        <v>243</v>
      </c>
      <c r="B102" s="77" t="s">
        <v>244</v>
      </c>
      <c r="C102" s="74"/>
      <c r="D102" s="79">
        <v>6363</v>
      </c>
      <c r="E102" s="78">
        <f>163637</f>
        <v>163637</v>
      </c>
      <c r="F102" s="415">
        <f>163637</f>
        <v>163637</v>
      </c>
      <c r="G102" s="424">
        <v>57267</v>
      </c>
      <c r="H102" s="103">
        <f>G102/F102*100</f>
        <v>34.99636390302926</v>
      </c>
    </row>
    <row r="103" spans="1:8" ht="12.75">
      <c r="A103" s="98" t="s">
        <v>245</v>
      </c>
      <c r="B103" s="104" t="s">
        <v>246</v>
      </c>
      <c r="C103" s="101"/>
      <c r="D103" s="102">
        <v>43970</v>
      </c>
      <c r="E103" s="101">
        <f>222577+140000</f>
        <v>362577</v>
      </c>
      <c r="F103" s="414">
        <f>222577+140000</f>
        <v>362577</v>
      </c>
      <c r="G103" s="426">
        <v>2010358</v>
      </c>
      <c r="H103" s="103">
        <f>G103/F103*100</f>
        <v>554.4637414949101</v>
      </c>
    </row>
    <row r="104" spans="1:8" ht="12.75" customHeight="1">
      <c r="A104" s="98" t="s">
        <v>247</v>
      </c>
      <c r="B104" s="105" t="s">
        <v>248</v>
      </c>
      <c r="C104" s="74"/>
      <c r="D104" s="79"/>
      <c r="E104" s="78"/>
      <c r="F104" s="415"/>
      <c r="G104" s="424"/>
      <c r="H104" s="103"/>
    </row>
    <row r="105" spans="1:8" ht="12.75">
      <c r="A105" s="98" t="s">
        <v>249</v>
      </c>
      <c r="B105" s="99" t="s">
        <v>250</v>
      </c>
      <c r="C105" s="79"/>
      <c r="D105" s="79"/>
      <c r="E105" s="78"/>
      <c r="F105" s="415"/>
      <c r="G105" s="424"/>
      <c r="H105" s="103"/>
    </row>
    <row r="106" spans="1:8" ht="12.75">
      <c r="A106" s="98" t="s">
        <v>251</v>
      </c>
      <c r="B106" s="99" t="s">
        <v>252</v>
      </c>
      <c r="C106" s="74"/>
      <c r="D106" s="79"/>
      <c r="E106" s="78"/>
      <c r="F106" s="415"/>
      <c r="G106" s="424"/>
      <c r="H106" s="103"/>
    </row>
    <row r="107" spans="1:8" ht="13.5" thickBot="1">
      <c r="A107" s="98" t="s">
        <v>253</v>
      </c>
      <c r="B107" s="82" t="s">
        <v>254</v>
      </c>
      <c r="C107" s="84">
        <v>-1368</v>
      </c>
      <c r="D107" s="84">
        <v>-128021</v>
      </c>
      <c r="E107" s="83"/>
      <c r="F107" s="418"/>
      <c r="G107" s="428">
        <v>49642</v>
      </c>
      <c r="H107" s="106"/>
    </row>
    <row r="108" spans="1:8" ht="21.75" customHeight="1" thickBot="1">
      <c r="A108" s="69" t="s">
        <v>255</v>
      </c>
      <c r="B108" s="399" t="s">
        <v>256</v>
      </c>
      <c r="C108" s="400">
        <f>SUM(C100+C104+C107)</f>
        <v>178491</v>
      </c>
      <c r="D108" s="400">
        <f>SUM(D100+D104+D107)</f>
        <v>13173</v>
      </c>
      <c r="E108" s="401">
        <f>SUM(E100+E104+E107)</f>
        <v>618410</v>
      </c>
      <c r="F108" s="419">
        <f>SUM(F100+F104+F107)</f>
        <v>618410</v>
      </c>
      <c r="G108" s="429">
        <f>SUM(G100+G104+G107)</f>
        <v>2185490</v>
      </c>
      <c r="H108" s="261">
        <f>G108/F108*100</f>
        <v>353.40469914781454</v>
      </c>
    </row>
    <row r="109" spans="1:8" ht="18.75" customHeight="1" thickBot="1">
      <c r="A109" s="402" t="s">
        <v>257</v>
      </c>
      <c r="B109" s="403" t="s">
        <v>258</v>
      </c>
      <c r="C109" s="265">
        <f>SUM(C99+C108)</f>
        <v>8850970</v>
      </c>
      <c r="D109" s="266">
        <f>SUM(D99+D108)</f>
        <v>9122889</v>
      </c>
      <c r="E109" s="265">
        <f>SUM(E99+E108)</f>
        <v>10651231</v>
      </c>
      <c r="F109" s="420">
        <f>SUM(F99+F108)</f>
        <v>12911856</v>
      </c>
      <c r="G109" s="430">
        <f>SUM(G99+G108)</f>
        <v>8724360</v>
      </c>
      <c r="H109" s="263">
        <f>G109/F109*100</f>
        <v>67.56859741930208</v>
      </c>
    </row>
    <row r="110" spans="1:8" ht="13.5" thickBot="1">
      <c r="A110" s="107" t="s">
        <v>259</v>
      </c>
      <c r="B110" s="404"/>
      <c r="C110" s="405"/>
      <c r="D110" s="144"/>
      <c r="E110" s="143"/>
      <c r="F110" s="421"/>
      <c r="G110" s="431"/>
      <c r="H110" s="117"/>
    </row>
    <row r="111" spans="1:8" ht="18.75" customHeight="1" thickBot="1">
      <c r="A111" s="402" t="s">
        <v>260</v>
      </c>
      <c r="B111" s="406" t="s">
        <v>261</v>
      </c>
      <c r="C111" s="407">
        <f>SUM(C42-C99)</f>
        <v>462749</v>
      </c>
      <c r="D111" s="407">
        <f>SUM(D42-D99)</f>
        <v>315436</v>
      </c>
      <c r="E111" s="408">
        <f>SUM(E42-E99)</f>
        <v>-220952</v>
      </c>
      <c r="F111" s="422">
        <f>SUM(F42-F99)</f>
        <v>-1959896</v>
      </c>
      <c r="G111" s="432">
        <f>SUM(G42-G99)</f>
        <v>743212</v>
      </c>
      <c r="H111" s="261"/>
    </row>
    <row r="112" spans="1:8" ht="18.75" customHeight="1" thickBot="1">
      <c r="A112" s="89" t="s">
        <v>262</v>
      </c>
      <c r="B112" s="409" t="s">
        <v>263</v>
      </c>
      <c r="C112" s="407">
        <f>SUM(C58-C108)</f>
        <v>969732</v>
      </c>
      <c r="D112" s="407">
        <f>SUM(D58-D108)</f>
        <v>109902</v>
      </c>
      <c r="E112" s="408">
        <f>SUM(E58-E108)</f>
        <v>-7459</v>
      </c>
      <c r="F112" s="422">
        <f>SUM(F58-F108)</f>
        <v>43918</v>
      </c>
      <c r="G112" s="432">
        <f>SUM(G58-G108)</f>
        <v>-496021</v>
      </c>
      <c r="H112" s="261"/>
    </row>
    <row r="113" ht="12.75">
      <c r="G113" s="366"/>
    </row>
  </sheetData>
  <mergeCells count="2">
    <mergeCell ref="A1:E1"/>
    <mergeCell ref="A61:E61"/>
  </mergeCells>
  <printOptions horizontalCentered="1" verticalCentered="1"/>
  <pageMargins left="0.3937007874015748" right="0.3937007874015748" top="0.7874015748031497" bottom="0.4724409448818898" header="0.3937007874015748" footer="0.5118110236220472"/>
  <pageSetup horizontalDpi="300" verticalDpi="300" orientation="portrait" scale="95" r:id="rId1"/>
  <headerFooter alignWithMargins="0">
    <oddHeader>&amp;L&amp;8  3. melléklet a …/…..(….) önkormányzati határozathoz&amp;C&amp;"Arial CE,Félkövér"&amp;11
 2011. III. negyedévi  pénzügyi mérleg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4.mérleg működési">
    <pageSetUpPr fitToPage="1"/>
  </sheetPr>
  <dimension ref="A2:O31"/>
  <sheetViews>
    <sheetView workbookViewId="0" topLeftCell="A1">
      <pane xSplit="2" ySplit="4" topLeftCell="D11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K33" sqref="K33"/>
    </sheetView>
  </sheetViews>
  <sheetFormatPr defaultColWidth="9.00390625" defaultRowHeight="12.75"/>
  <cols>
    <col min="1" max="1" width="3.25390625" style="61" customWidth="1"/>
    <col min="2" max="2" width="26.125" style="61" customWidth="1"/>
    <col min="3" max="3" width="9.625" style="61" hidden="1" customWidth="1"/>
    <col min="4" max="4" width="8.75390625" style="61" customWidth="1"/>
    <col min="5" max="5" width="8.625" style="61" customWidth="1"/>
    <col min="6" max="7" width="9.125" style="61" customWidth="1"/>
    <col min="8" max="8" width="4.125" style="61" customWidth="1"/>
    <col min="9" max="9" width="27.25390625" style="61" customWidth="1"/>
    <col min="10" max="10" width="0" style="61" hidden="1" customWidth="1"/>
    <col min="11" max="12" width="8.625" style="61" customWidth="1"/>
    <col min="13" max="14" width="9.125" style="61" customWidth="1"/>
    <col min="15" max="15" width="4.125" style="61" customWidth="1"/>
    <col min="16" max="16384" width="9.125" style="61" customWidth="1"/>
  </cols>
  <sheetData>
    <row r="2" ht="12.75" customHeight="1" thickBot="1">
      <c r="K2" s="90" t="s">
        <v>90</v>
      </c>
    </row>
    <row r="3" spans="1:15" ht="12.75" customHeight="1" thickBot="1">
      <c r="A3" s="93"/>
      <c r="B3" s="130" t="s">
        <v>1</v>
      </c>
      <c r="C3" s="109" t="s">
        <v>2</v>
      </c>
      <c r="D3" s="109" t="s">
        <v>2</v>
      </c>
      <c r="E3" s="109" t="s">
        <v>56</v>
      </c>
      <c r="F3" s="109" t="s">
        <v>58</v>
      </c>
      <c r="G3" s="109" t="s">
        <v>59</v>
      </c>
      <c r="H3" s="110" t="s">
        <v>60</v>
      </c>
      <c r="I3" s="108" t="s">
        <v>61</v>
      </c>
      <c r="J3" s="109" t="s">
        <v>62</v>
      </c>
      <c r="K3" s="109" t="s">
        <v>62</v>
      </c>
      <c r="L3" s="109" t="s">
        <v>63</v>
      </c>
      <c r="M3" s="111" t="s">
        <v>264</v>
      </c>
      <c r="N3" s="109" t="s">
        <v>265</v>
      </c>
      <c r="O3" s="110" t="s">
        <v>266</v>
      </c>
    </row>
    <row r="4" spans="1:15" ht="35.25" customHeight="1" thickBot="1">
      <c r="A4" s="112"/>
      <c r="B4" s="113" t="s">
        <v>267</v>
      </c>
      <c r="C4" s="66" t="s">
        <v>92</v>
      </c>
      <c r="D4" s="67" t="s">
        <v>93</v>
      </c>
      <c r="E4" s="66" t="s">
        <v>268</v>
      </c>
      <c r="F4" s="245" t="s">
        <v>478</v>
      </c>
      <c r="G4" s="245" t="s">
        <v>479</v>
      </c>
      <c r="H4" s="67" t="s">
        <v>452</v>
      </c>
      <c r="I4" s="282" t="s">
        <v>269</v>
      </c>
      <c r="J4" s="283" t="s">
        <v>92</v>
      </c>
      <c r="K4" s="283" t="s">
        <v>93</v>
      </c>
      <c r="L4" s="283" t="s">
        <v>268</v>
      </c>
      <c r="M4" s="245" t="s">
        <v>478</v>
      </c>
      <c r="N4" s="245" t="s">
        <v>479</v>
      </c>
      <c r="O4" s="284" t="s">
        <v>452</v>
      </c>
    </row>
    <row r="5" spans="1:15" ht="12" customHeight="1">
      <c r="A5" s="69" t="s">
        <v>5</v>
      </c>
      <c r="B5" s="134" t="s">
        <v>270</v>
      </c>
      <c r="C5" s="114">
        <f>541570-3939</f>
        <v>537631</v>
      </c>
      <c r="D5" s="114">
        <f>486568+63258-809</f>
        <v>549017</v>
      </c>
      <c r="E5" s="114">
        <v>392367</v>
      </c>
      <c r="F5" s="358">
        <f>392367-1200-1</f>
        <v>391166</v>
      </c>
      <c r="G5" s="115">
        <v>407910</v>
      </c>
      <c r="H5" s="103">
        <f>G5/F5*100</f>
        <v>104.28053562937474</v>
      </c>
      <c r="I5" s="134" t="s">
        <v>271</v>
      </c>
      <c r="J5" s="114">
        <v>4191497</v>
      </c>
      <c r="K5" s="114">
        <v>4372934</v>
      </c>
      <c r="L5" s="114">
        <v>4023404</v>
      </c>
      <c r="M5" s="503">
        <f>'[1]mérleg ÚJ'!G72</f>
        <v>4149181</v>
      </c>
      <c r="N5" s="497">
        <v>2966339</v>
      </c>
      <c r="O5" s="103">
        <f>N5/M5*100</f>
        <v>71.49215712691252</v>
      </c>
    </row>
    <row r="6" spans="1:15" ht="12" customHeight="1">
      <c r="A6" s="69" t="s">
        <v>8</v>
      </c>
      <c r="B6" s="138" t="s">
        <v>455</v>
      </c>
      <c r="C6" s="78">
        <v>1359069</v>
      </c>
      <c r="D6" s="78">
        <v>1477130</v>
      </c>
      <c r="E6" s="78">
        <v>1323867</v>
      </c>
      <c r="F6" s="359">
        <v>1324325</v>
      </c>
      <c r="G6" s="79">
        <v>1189018</v>
      </c>
      <c r="H6" s="103">
        <f>G6/F6*100</f>
        <v>89.78294602910917</v>
      </c>
      <c r="I6" s="138" t="s">
        <v>272</v>
      </c>
      <c r="J6" s="78">
        <v>1224632</v>
      </c>
      <c r="K6" s="78">
        <v>1101429</v>
      </c>
      <c r="L6" s="78">
        <v>1093211</v>
      </c>
      <c r="M6" s="504">
        <f>'[1]mérleg ÚJ'!G73</f>
        <v>1119165</v>
      </c>
      <c r="N6" s="424">
        <v>768177</v>
      </c>
      <c r="O6" s="103">
        <f>N6/M6*100</f>
        <v>68.63840452480197</v>
      </c>
    </row>
    <row r="7" spans="1:15" ht="12" customHeight="1">
      <c r="A7" s="69" t="s">
        <v>10</v>
      </c>
      <c r="B7" s="138" t="s">
        <v>273</v>
      </c>
      <c r="C7" s="78">
        <f>2828998-4889-21637</f>
        <v>2802472</v>
      </c>
      <c r="D7" s="78">
        <v>2637136</v>
      </c>
      <c r="E7" s="78">
        <v>1899072</v>
      </c>
      <c r="F7" s="359">
        <f>2279810+39</f>
        <v>2279849</v>
      </c>
      <c r="G7" s="79">
        <v>1938584</v>
      </c>
      <c r="H7" s="103">
        <f>G7/F7*100</f>
        <v>85.03124549038115</v>
      </c>
      <c r="I7" s="138" t="s">
        <v>274</v>
      </c>
      <c r="J7" s="78">
        <f>2401761-33197</f>
        <v>2368564</v>
      </c>
      <c r="K7" s="78">
        <v>2471100</v>
      </c>
      <c r="L7" s="78">
        <v>2222604</v>
      </c>
      <c r="M7" s="504">
        <f>'[1]mérleg ÚJ'!G75</f>
        <v>2865369</v>
      </c>
      <c r="N7" s="424">
        <f>'3.mérleg ÚJ'!G75</f>
        <v>1639651</v>
      </c>
      <c r="O7" s="103">
        <f aca="true" t="shared" si="0" ref="O7:O12">N7/M7*100</f>
        <v>57.22303130940553</v>
      </c>
    </row>
    <row r="8" spans="1:15" ht="12" customHeight="1">
      <c r="A8" s="69" t="s">
        <v>12</v>
      </c>
      <c r="B8" s="138" t="s">
        <v>275</v>
      </c>
      <c r="C8" s="78">
        <v>3881541</v>
      </c>
      <c r="D8" s="78">
        <v>4233894</v>
      </c>
      <c r="E8" s="78">
        <v>4179302</v>
      </c>
      <c r="F8" s="359">
        <f>'[1]mérleg ÚJ'!F33</f>
        <v>4096707</v>
      </c>
      <c r="G8" s="79">
        <v>3203474</v>
      </c>
      <c r="H8" s="103">
        <f>G8/F8*100</f>
        <v>78.196317188415</v>
      </c>
      <c r="I8" s="141" t="s">
        <v>276</v>
      </c>
      <c r="J8" s="78">
        <v>17768</v>
      </c>
      <c r="K8" s="116">
        <v>14653</v>
      </c>
      <c r="L8" s="78">
        <v>47000</v>
      </c>
      <c r="M8" s="504">
        <v>47000</v>
      </c>
      <c r="N8" s="424">
        <f>'3.mérleg ÚJ'!G76</f>
        <v>10296</v>
      </c>
      <c r="O8" s="103">
        <f t="shared" si="0"/>
        <v>21.906382978723403</v>
      </c>
    </row>
    <row r="9" spans="1:15" ht="12" customHeight="1">
      <c r="A9" s="69" t="s">
        <v>14</v>
      </c>
      <c r="B9" s="138" t="s">
        <v>277</v>
      </c>
      <c r="C9" s="78">
        <v>193785</v>
      </c>
      <c r="D9" s="78">
        <v>53459</v>
      </c>
      <c r="E9" s="78">
        <v>10000</v>
      </c>
      <c r="F9" s="359">
        <f>'[1]mérleg ÚJ'!F38</f>
        <v>67273</v>
      </c>
      <c r="G9" s="79">
        <v>74087</v>
      </c>
      <c r="H9" s="103">
        <f>G9/F9*100</f>
        <v>110.12887785590057</v>
      </c>
      <c r="I9" s="138" t="s">
        <v>278</v>
      </c>
      <c r="J9" s="78">
        <v>91110</v>
      </c>
      <c r="K9" s="78">
        <v>121940</v>
      </c>
      <c r="L9" s="78">
        <v>70000</v>
      </c>
      <c r="M9" s="504">
        <v>70575</v>
      </c>
      <c r="N9" s="424">
        <f>'3.mérleg ÚJ'!G77</f>
        <v>30484</v>
      </c>
      <c r="O9" s="103">
        <f t="shared" si="0"/>
        <v>43.193765497697484</v>
      </c>
    </row>
    <row r="10" spans="1:15" ht="12" customHeight="1">
      <c r="A10" s="69" t="s">
        <v>17</v>
      </c>
      <c r="B10" s="138" t="s">
        <v>472</v>
      </c>
      <c r="C10" s="78"/>
      <c r="D10" s="78">
        <v>30000</v>
      </c>
      <c r="E10" s="78"/>
      <c r="F10" s="359"/>
      <c r="G10" s="79"/>
      <c r="H10" s="103"/>
      <c r="I10" s="138" t="s">
        <v>279</v>
      </c>
      <c r="J10" s="78">
        <v>58452</v>
      </c>
      <c r="K10" s="78">
        <v>66801</v>
      </c>
      <c r="L10" s="78">
        <v>42116</v>
      </c>
      <c r="M10" s="504">
        <f>42116+10490</f>
        <v>52606</v>
      </c>
      <c r="N10" s="424">
        <v>46613</v>
      </c>
      <c r="O10" s="103">
        <f t="shared" si="0"/>
        <v>88.60776337299929</v>
      </c>
    </row>
    <row r="11" spans="1:15" ht="12" customHeight="1">
      <c r="A11" s="69" t="s">
        <v>20</v>
      </c>
      <c r="B11" s="138"/>
      <c r="C11" s="78"/>
      <c r="D11" s="78"/>
      <c r="E11" s="78"/>
      <c r="F11" s="359"/>
      <c r="G11" s="79"/>
      <c r="H11" s="103"/>
      <c r="I11" s="138" t="s">
        <v>465</v>
      </c>
      <c r="J11" s="78">
        <f>154890-128247</f>
        <v>26643</v>
      </c>
      <c r="K11" s="78">
        <v>95089</v>
      </c>
      <c r="L11" s="78">
        <f>3000+500+100+13300</f>
        <v>16900</v>
      </c>
      <c r="M11" s="504">
        <f>3000+500+100+13300+160+2000+2420</f>
        <v>21480</v>
      </c>
      <c r="N11" s="424">
        <f>'3.mérleg ÚJ'!G78</f>
        <v>25361</v>
      </c>
      <c r="O11" s="103">
        <f t="shared" si="0"/>
        <v>118.06797020484171</v>
      </c>
    </row>
    <row r="12" spans="1:15" ht="12" customHeight="1">
      <c r="A12" s="69" t="s">
        <v>23</v>
      </c>
      <c r="B12" s="138"/>
      <c r="C12" s="78"/>
      <c r="D12" s="78"/>
      <c r="E12" s="78"/>
      <c r="F12" s="359"/>
      <c r="G12" s="79"/>
      <c r="H12" s="103"/>
      <c r="I12" s="138" t="s">
        <v>280</v>
      </c>
      <c r="J12" s="78">
        <v>293838</v>
      </c>
      <c r="K12" s="116">
        <v>280637</v>
      </c>
      <c r="L12" s="78">
        <v>373910</v>
      </c>
      <c r="M12" s="504">
        <f>373910+7528</f>
        <v>381438</v>
      </c>
      <c r="N12" s="424">
        <v>239816</v>
      </c>
      <c r="O12" s="103">
        <f t="shared" si="0"/>
        <v>62.87155448591908</v>
      </c>
    </row>
    <row r="13" spans="1:15" ht="12" customHeight="1">
      <c r="A13" s="69" t="s">
        <v>26</v>
      </c>
      <c r="B13" s="138"/>
      <c r="C13" s="78"/>
      <c r="D13" s="78"/>
      <c r="E13" s="78"/>
      <c r="F13" s="359"/>
      <c r="G13" s="79"/>
      <c r="H13" s="103"/>
      <c r="I13" s="138" t="s">
        <v>464</v>
      </c>
      <c r="J13" s="78"/>
      <c r="K13" s="78"/>
      <c r="L13" s="78"/>
      <c r="M13" s="504"/>
      <c r="N13" s="424"/>
      <c r="O13" s="103"/>
    </row>
    <row r="14" spans="1:15" ht="12" customHeight="1">
      <c r="A14" s="69" t="s">
        <v>29</v>
      </c>
      <c r="B14" s="138"/>
      <c r="C14" s="78"/>
      <c r="D14" s="78"/>
      <c r="E14" s="78"/>
      <c r="F14" s="359"/>
      <c r="G14" s="79"/>
      <c r="H14" s="103"/>
      <c r="I14" s="138" t="s">
        <v>281</v>
      </c>
      <c r="J14" s="78"/>
      <c r="K14" s="116">
        <v>65000</v>
      </c>
      <c r="L14" s="78"/>
      <c r="M14" s="504">
        <v>20000</v>
      </c>
      <c r="N14" s="424"/>
      <c r="O14" s="103"/>
    </row>
    <row r="15" spans="1:15" ht="12" customHeight="1">
      <c r="A15" s="69" t="s">
        <v>32</v>
      </c>
      <c r="B15" s="138"/>
      <c r="C15" s="78"/>
      <c r="D15" s="78"/>
      <c r="E15" s="78"/>
      <c r="F15" s="359"/>
      <c r="G15" s="79"/>
      <c r="H15" s="103"/>
      <c r="I15" s="138" t="s">
        <v>282</v>
      </c>
      <c r="J15" s="78">
        <v>128247</v>
      </c>
      <c r="K15" s="78"/>
      <c r="L15" s="78"/>
      <c r="M15" s="504"/>
      <c r="N15" s="424"/>
      <c r="O15" s="103"/>
    </row>
    <row r="16" spans="1:15" ht="12" customHeight="1" thickBot="1">
      <c r="A16" s="69" t="s">
        <v>35</v>
      </c>
      <c r="B16" s="148"/>
      <c r="C16" s="101"/>
      <c r="D16" s="101"/>
      <c r="E16" s="101"/>
      <c r="F16" s="360"/>
      <c r="G16" s="102"/>
      <c r="H16" s="117"/>
      <c r="I16" s="148" t="s">
        <v>283</v>
      </c>
      <c r="J16" s="101"/>
      <c r="K16" s="101"/>
      <c r="L16" s="101">
        <v>5000</v>
      </c>
      <c r="M16" s="505">
        <v>5000</v>
      </c>
      <c r="N16" s="426"/>
      <c r="O16" s="117"/>
    </row>
    <row r="17" spans="1:15" ht="22.5" customHeight="1" thickBot="1">
      <c r="A17" s="69" t="s">
        <v>37</v>
      </c>
      <c r="B17" s="146" t="s">
        <v>444</v>
      </c>
      <c r="C17" s="118">
        <f>SUM(C5:C16)</f>
        <v>8774498</v>
      </c>
      <c r="D17" s="118">
        <f>SUM(D5:D16)</f>
        <v>8980636</v>
      </c>
      <c r="E17" s="118">
        <f>SUM(E5:E16)</f>
        <v>7804608</v>
      </c>
      <c r="F17" s="361">
        <f>SUM(F5:F16)</f>
        <v>8159320</v>
      </c>
      <c r="G17" s="119">
        <f>SUM(G5:G16)</f>
        <v>6813073</v>
      </c>
      <c r="H17" s="151">
        <f>G17/F17*100</f>
        <v>83.50050004167014</v>
      </c>
      <c r="I17" s="270" t="s">
        <v>443</v>
      </c>
      <c r="J17" s="118">
        <f>SUM(J5:J16)</f>
        <v>8400751</v>
      </c>
      <c r="K17" s="118">
        <f>SUM(K5:K16)</f>
        <v>8589583</v>
      </c>
      <c r="L17" s="118">
        <f>SUM(L5:L16)</f>
        <v>7894145</v>
      </c>
      <c r="M17" s="506">
        <f>SUM(M5:M16)</f>
        <v>8731814</v>
      </c>
      <c r="N17" s="511">
        <f>SUM(N5:N16)</f>
        <v>5726737</v>
      </c>
      <c r="O17" s="151">
        <f>N17/M17*100</f>
        <v>65.58473416863896</v>
      </c>
    </row>
    <row r="18" spans="1:15" ht="21.75" customHeight="1">
      <c r="A18" s="69" t="s">
        <v>39</v>
      </c>
      <c r="B18" s="267" t="s">
        <v>286</v>
      </c>
      <c r="C18" s="86">
        <v>357051</v>
      </c>
      <c r="D18" s="86">
        <v>421887</v>
      </c>
      <c r="E18" s="86"/>
      <c r="F18" s="362">
        <v>340927</v>
      </c>
      <c r="G18" s="87">
        <v>314025</v>
      </c>
      <c r="H18" s="88">
        <f>G18/F18*100</f>
        <v>92.1091611987317</v>
      </c>
      <c r="I18" s="134" t="s">
        <v>287</v>
      </c>
      <c r="J18" s="114"/>
      <c r="K18" s="114">
        <v>6363</v>
      </c>
      <c r="L18" s="114">
        <v>163637</v>
      </c>
      <c r="M18" s="503">
        <v>163637</v>
      </c>
      <c r="N18" s="500">
        <v>57267</v>
      </c>
      <c r="O18" s="272">
        <f>N18/M18*100</f>
        <v>34.99636390302926</v>
      </c>
    </row>
    <row r="19" spans="1:15" ht="12" customHeight="1">
      <c r="A19" s="69" t="s">
        <v>41</v>
      </c>
      <c r="B19" s="268" t="s">
        <v>457</v>
      </c>
      <c r="C19" s="73"/>
      <c r="D19" s="73"/>
      <c r="E19" s="73"/>
      <c r="F19" s="363"/>
      <c r="G19" s="74"/>
      <c r="H19" s="88"/>
      <c r="I19" s="138" t="s">
        <v>288</v>
      </c>
      <c r="J19" s="73"/>
      <c r="K19" s="116">
        <v>43970</v>
      </c>
      <c r="L19" s="78">
        <v>362577</v>
      </c>
      <c r="M19" s="504">
        <v>362577</v>
      </c>
      <c r="N19" s="424">
        <v>2010358</v>
      </c>
      <c r="O19" s="273">
        <f>N19/M19*100</f>
        <v>554.4637414949101</v>
      </c>
    </row>
    <row r="20" spans="1:15" ht="12" customHeight="1">
      <c r="A20" s="69" t="s">
        <v>44</v>
      </c>
      <c r="B20" s="138" t="s">
        <v>289</v>
      </c>
      <c r="C20" s="78"/>
      <c r="D20" s="116">
        <v>170000</v>
      </c>
      <c r="E20" s="78"/>
      <c r="F20" s="359"/>
      <c r="G20" s="79"/>
      <c r="H20" s="103"/>
      <c r="I20" s="138" t="s">
        <v>290</v>
      </c>
      <c r="J20" s="78"/>
      <c r="K20" s="78"/>
      <c r="L20" s="120"/>
      <c r="M20" s="507"/>
      <c r="N20" s="499"/>
      <c r="O20" s="103"/>
    </row>
    <row r="21" spans="1:15" ht="12" customHeight="1">
      <c r="A21" s="69" t="s">
        <v>46</v>
      </c>
      <c r="B21" s="138" t="s">
        <v>291</v>
      </c>
      <c r="C21" s="78">
        <v>88279</v>
      </c>
      <c r="D21" s="116"/>
      <c r="E21" s="78">
        <f>248374+362577</f>
        <v>610951</v>
      </c>
      <c r="F21" s="359">
        <f>'[1]mérleg ÚJ'!F54</f>
        <v>698390</v>
      </c>
      <c r="G21" s="79">
        <v>1787781</v>
      </c>
      <c r="H21" s="103">
        <f>G21/F21*100</f>
        <v>255.98605363765233</v>
      </c>
      <c r="I21" s="138" t="s">
        <v>292</v>
      </c>
      <c r="J21" s="73"/>
      <c r="K21" s="73"/>
      <c r="L21" s="73"/>
      <c r="M21" s="508"/>
      <c r="N21" s="425"/>
      <c r="O21" s="103"/>
    </row>
    <row r="22" spans="1:15" ht="12" customHeight="1">
      <c r="A22" s="69" t="s">
        <v>48</v>
      </c>
      <c r="B22" s="138" t="s">
        <v>293</v>
      </c>
      <c r="C22" s="78"/>
      <c r="D22" s="78"/>
      <c r="E22" s="78"/>
      <c r="F22" s="359"/>
      <c r="G22" s="79"/>
      <c r="H22" s="103"/>
      <c r="I22" s="138" t="s">
        <v>294</v>
      </c>
      <c r="J22" s="78"/>
      <c r="K22" s="78"/>
      <c r="L22" s="78"/>
      <c r="M22" s="504"/>
      <c r="N22" s="424"/>
      <c r="O22" s="103"/>
    </row>
    <row r="23" spans="1:15" ht="12" customHeight="1">
      <c r="A23" s="69" t="s">
        <v>50</v>
      </c>
      <c r="B23" s="138" t="s">
        <v>466</v>
      </c>
      <c r="C23" s="78"/>
      <c r="D23" s="116"/>
      <c r="E23" s="78"/>
      <c r="F23" s="359"/>
      <c r="G23" s="79"/>
      <c r="H23" s="103"/>
      <c r="I23" s="138" t="s">
        <v>295</v>
      </c>
      <c r="J23" s="78"/>
      <c r="K23" s="78"/>
      <c r="L23" s="78"/>
      <c r="M23" s="504"/>
      <c r="N23" s="424"/>
      <c r="O23" s="103"/>
    </row>
    <row r="24" spans="1:15" ht="12" customHeight="1">
      <c r="A24" s="69" t="s">
        <v>52</v>
      </c>
      <c r="B24" s="138" t="s">
        <v>467</v>
      </c>
      <c r="C24" s="78"/>
      <c r="D24" s="78"/>
      <c r="E24" s="78"/>
      <c r="F24" s="359"/>
      <c r="G24" s="79"/>
      <c r="H24" s="103"/>
      <c r="I24" s="138" t="s">
        <v>463</v>
      </c>
      <c r="J24" s="78"/>
      <c r="K24" s="78"/>
      <c r="L24" s="78"/>
      <c r="M24" s="504"/>
      <c r="N24" s="424"/>
      <c r="O24" s="103"/>
    </row>
    <row r="25" spans="1:15" ht="12" customHeight="1">
      <c r="A25" s="69" t="s">
        <v>83</v>
      </c>
      <c r="B25" s="138" t="s">
        <v>468</v>
      </c>
      <c r="C25" s="78"/>
      <c r="D25" s="78"/>
      <c r="E25" s="78"/>
      <c r="F25" s="359"/>
      <c r="G25" s="79"/>
      <c r="H25" s="103"/>
      <c r="I25" s="138" t="s">
        <v>298</v>
      </c>
      <c r="J25" s="78">
        <v>-1368</v>
      </c>
      <c r="K25" s="78">
        <v>-128021</v>
      </c>
      <c r="L25" s="73"/>
      <c r="M25" s="508"/>
      <c r="N25" s="425">
        <v>49642</v>
      </c>
      <c r="O25" s="103"/>
    </row>
    <row r="26" spans="1:15" ht="12" customHeight="1">
      <c r="A26" s="69" t="s">
        <v>85</v>
      </c>
      <c r="B26" s="138" t="s">
        <v>456</v>
      </c>
      <c r="C26" s="73"/>
      <c r="D26" s="78"/>
      <c r="E26" s="73"/>
      <c r="F26" s="363"/>
      <c r="G26" s="74"/>
      <c r="H26" s="103"/>
      <c r="I26" s="138"/>
      <c r="J26" s="73"/>
      <c r="K26" s="78"/>
      <c r="L26" s="73"/>
      <c r="M26" s="508"/>
      <c r="N26" s="425"/>
      <c r="O26" s="103"/>
    </row>
    <row r="27" spans="1:15" ht="12" customHeight="1">
      <c r="A27" s="69" t="s">
        <v>86</v>
      </c>
      <c r="B27" s="138" t="s">
        <v>299</v>
      </c>
      <c r="C27" s="78">
        <v>3864</v>
      </c>
      <c r="D27" s="78">
        <v>-106019</v>
      </c>
      <c r="E27" s="78"/>
      <c r="F27" s="359"/>
      <c r="G27" s="79">
        <v>-98312</v>
      </c>
      <c r="H27" s="103"/>
      <c r="I27" s="138"/>
      <c r="J27" s="73"/>
      <c r="K27" s="78"/>
      <c r="L27" s="78"/>
      <c r="M27" s="504"/>
      <c r="N27" s="424"/>
      <c r="O27" s="103"/>
    </row>
    <row r="28" spans="1:15" ht="12" customHeight="1" thickBot="1">
      <c r="A28" s="69" t="s">
        <v>87</v>
      </c>
      <c r="B28" s="148"/>
      <c r="C28" s="101"/>
      <c r="D28" s="101"/>
      <c r="E28" s="101"/>
      <c r="F28" s="360"/>
      <c r="G28" s="102"/>
      <c r="H28" s="117"/>
      <c r="I28" s="148"/>
      <c r="J28" s="83"/>
      <c r="K28" s="83"/>
      <c r="L28" s="83"/>
      <c r="M28" s="509"/>
      <c r="N28" s="428"/>
      <c r="O28" s="117"/>
    </row>
    <row r="29" spans="1:15" ht="22.5" customHeight="1" thickBot="1">
      <c r="A29" s="69" t="s">
        <v>88</v>
      </c>
      <c r="B29" s="146" t="s">
        <v>300</v>
      </c>
      <c r="C29" s="118">
        <f>SUM(C20:C28)</f>
        <v>92143</v>
      </c>
      <c r="D29" s="118">
        <f>SUM(D20:D28)</f>
        <v>63981</v>
      </c>
      <c r="E29" s="118">
        <f>SUM(E20:E28)</f>
        <v>610951</v>
      </c>
      <c r="F29" s="361">
        <f>SUM(F20:F28)</f>
        <v>698390</v>
      </c>
      <c r="G29" s="119">
        <f>SUM(G20:G28)</f>
        <v>1689469</v>
      </c>
      <c r="H29" s="151">
        <f>G29/F29*100</f>
        <v>241.9091052277381</v>
      </c>
      <c r="I29" s="146" t="s">
        <v>301</v>
      </c>
      <c r="J29" s="118">
        <f>SUM(J18:J28)</f>
        <v>-1368</v>
      </c>
      <c r="K29" s="118">
        <f>SUM(K18:K28)</f>
        <v>-77688</v>
      </c>
      <c r="L29" s="118">
        <f>SUM(L18:L28)</f>
        <v>526214</v>
      </c>
      <c r="M29" s="506">
        <f>SUM(M18:M28)</f>
        <v>526214</v>
      </c>
      <c r="N29" s="511">
        <f>SUM(N18:N28)</f>
        <v>2117267</v>
      </c>
      <c r="O29" s="151">
        <f>N29/M29*100</f>
        <v>402.358546142824</v>
      </c>
    </row>
    <row r="30" spans="1:15" s="81" customFormat="1" ht="22.5" customHeight="1" thickBot="1">
      <c r="A30" s="69" t="s">
        <v>117</v>
      </c>
      <c r="B30" s="269" t="s">
        <v>302</v>
      </c>
      <c r="C30" s="122">
        <f>SUM(C17+C18+C19+C29)</f>
        <v>9223692</v>
      </c>
      <c r="D30" s="122">
        <f>SUM(D17+D18+D19+D29)</f>
        <v>9466504</v>
      </c>
      <c r="E30" s="122">
        <f>SUM(E17+E18+E19+E29)</f>
        <v>8415559</v>
      </c>
      <c r="F30" s="364">
        <f>SUM(F17+F18+F19+F29)</f>
        <v>9198637</v>
      </c>
      <c r="G30" s="123">
        <f>SUM(G17+G18+G19+G29)</f>
        <v>8816567</v>
      </c>
      <c r="H30" s="281">
        <f>G30/F30*100</f>
        <v>95.84644985990859</v>
      </c>
      <c r="I30" s="269" t="s">
        <v>303</v>
      </c>
      <c r="J30" s="122">
        <f>SUM(J17+J29)</f>
        <v>8399383</v>
      </c>
      <c r="K30" s="122">
        <f>SUM(K17+K29)</f>
        <v>8511895</v>
      </c>
      <c r="L30" s="122">
        <f>SUM(L17+L29)</f>
        <v>8420359</v>
      </c>
      <c r="M30" s="510">
        <f>SUM(M17+M29)</f>
        <v>9258028</v>
      </c>
      <c r="N30" s="512">
        <f>SUM(N17+N29)</f>
        <v>7844004</v>
      </c>
      <c r="O30" s="281">
        <f>N30/M30*100</f>
        <v>84.72650979236614</v>
      </c>
    </row>
    <row r="31" spans="1:15" ht="16.5" customHeight="1" thickBot="1">
      <c r="A31" s="89" t="s">
        <v>119</v>
      </c>
      <c r="B31" s="124" t="s">
        <v>304</v>
      </c>
      <c r="C31" s="125"/>
      <c r="D31" s="125"/>
      <c r="E31" s="125">
        <f>SUM(L17-E17)</f>
        <v>89537</v>
      </c>
      <c r="F31" s="125">
        <f>SUM(M17-F17)</f>
        <v>572494</v>
      </c>
      <c r="G31" s="126"/>
      <c r="H31" s="127"/>
      <c r="I31" s="124" t="s">
        <v>305</v>
      </c>
      <c r="J31" s="125">
        <f>SUM(C17-J17)</f>
        <v>373747</v>
      </c>
      <c r="K31" s="125">
        <f>SUM(D17-K17)</f>
        <v>391053</v>
      </c>
      <c r="L31" s="125"/>
      <c r="M31" s="126"/>
      <c r="N31" s="502">
        <f>SUM(G17-N17)</f>
        <v>1086336</v>
      </c>
      <c r="O31" s="127"/>
    </row>
    <row r="45" ht="12" customHeight="1"/>
  </sheetData>
  <sheetProtection selectLockedCells="1" selectUnlockedCells="1"/>
  <printOptions horizontalCentered="1" verticalCentered="1"/>
  <pageMargins left="0.39375" right="0.39375" top="0.7868055555555555" bottom="0.4722222222222222" header="0.5902777777777778" footer="0.5118055555555555"/>
  <pageSetup fitToHeight="1" fitToWidth="1" horizontalDpi="300" verticalDpi="300" orientation="landscape" scale="97" r:id="rId1"/>
  <headerFooter alignWithMargins="0">
    <oddHeader>&amp;L&amp;8  4. melléklet a …/…..(….) önkormányzati határozathoz&amp;C&amp;"Arial CE,Félkövér"&amp;11Működési célú  bevételek és kiadások mérlege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5.mérleg felhalmozási">
    <pageSetUpPr fitToPage="1"/>
  </sheetPr>
  <dimension ref="A1:O28"/>
  <sheetViews>
    <sheetView workbookViewId="0" topLeftCell="A4">
      <selection activeCell="D28" sqref="D28"/>
    </sheetView>
  </sheetViews>
  <sheetFormatPr defaultColWidth="9.00390625" defaultRowHeight="12.75"/>
  <cols>
    <col min="1" max="1" width="3.375" style="0" customWidth="1"/>
    <col min="2" max="2" width="29.875" style="0" customWidth="1"/>
    <col min="3" max="3" width="8.875" style="0" hidden="1" customWidth="1"/>
    <col min="4" max="4" width="7.375" style="0" customWidth="1"/>
    <col min="5" max="5" width="8.625" style="0" customWidth="1"/>
    <col min="6" max="6" width="9.25390625" style="0" customWidth="1"/>
    <col min="8" max="8" width="4.00390625" style="0" customWidth="1"/>
    <col min="9" max="9" width="26.625" style="0" customWidth="1"/>
    <col min="10" max="10" width="8.375" style="0" hidden="1" customWidth="1"/>
    <col min="11" max="11" width="8.00390625" style="0" customWidth="1"/>
    <col min="12" max="12" width="8.625" style="0" customWidth="1"/>
    <col min="14" max="14" width="8.875" style="0" customWidth="1"/>
    <col min="15" max="15" width="4.125" style="0" customWidth="1"/>
  </cols>
  <sheetData>
    <row r="1" ht="13.5" thickBot="1">
      <c r="K1" s="128" t="s">
        <v>90</v>
      </c>
    </row>
    <row r="2" spans="1:15" ht="13.5" thickBot="1">
      <c r="A2" s="129"/>
      <c r="B2" s="130" t="s">
        <v>1</v>
      </c>
      <c r="C2" s="109" t="s">
        <v>2</v>
      </c>
      <c r="D2" s="109" t="s">
        <v>2</v>
      </c>
      <c r="E2" s="109" t="s">
        <v>56</v>
      </c>
      <c r="F2" s="109" t="s">
        <v>58</v>
      </c>
      <c r="G2" s="109" t="s">
        <v>59</v>
      </c>
      <c r="H2" s="110" t="s">
        <v>60</v>
      </c>
      <c r="I2" s="108" t="s">
        <v>61</v>
      </c>
      <c r="J2" s="109" t="s">
        <v>62</v>
      </c>
      <c r="K2" s="109" t="s">
        <v>62</v>
      </c>
      <c r="L2" s="109" t="s">
        <v>63</v>
      </c>
      <c r="M2" s="111" t="s">
        <v>264</v>
      </c>
      <c r="N2" s="109" t="s">
        <v>265</v>
      </c>
      <c r="O2" s="110" t="s">
        <v>266</v>
      </c>
    </row>
    <row r="3" spans="1:15" ht="34.5" customHeight="1" thickBot="1">
      <c r="A3" s="131"/>
      <c r="B3" s="113" t="s">
        <v>267</v>
      </c>
      <c r="C3" s="66" t="s">
        <v>92</v>
      </c>
      <c r="D3" s="67" t="s">
        <v>93</v>
      </c>
      <c r="E3" s="66" t="s">
        <v>268</v>
      </c>
      <c r="F3" s="245" t="s">
        <v>478</v>
      </c>
      <c r="G3" s="245" t="s">
        <v>479</v>
      </c>
      <c r="H3" s="68" t="s">
        <v>452</v>
      </c>
      <c r="I3" s="132" t="s">
        <v>269</v>
      </c>
      <c r="J3" s="66" t="s">
        <v>92</v>
      </c>
      <c r="K3" s="67" t="s">
        <v>93</v>
      </c>
      <c r="L3" s="67" t="s">
        <v>94</v>
      </c>
      <c r="M3" s="245" t="s">
        <v>478</v>
      </c>
      <c r="N3" s="245" t="s">
        <v>479</v>
      </c>
      <c r="O3" s="68" t="s">
        <v>452</v>
      </c>
    </row>
    <row r="4" spans="1:15" ht="12.75" customHeight="1">
      <c r="A4" s="133" t="s">
        <v>5</v>
      </c>
      <c r="B4" s="134" t="s">
        <v>471</v>
      </c>
      <c r="C4" s="114">
        <v>8775</v>
      </c>
      <c r="D4" s="115">
        <v>51351</v>
      </c>
      <c r="E4" s="114">
        <f>381960-183160</f>
        <v>198800</v>
      </c>
      <c r="F4" s="358">
        <f>381960-183160+1050+10000</f>
        <v>209850</v>
      </c>
      <c r="G4" s="497">
        <v>35972</v>
      </c>
      <c r="H4" s="103">
        <f>G4/F4*100</f>
        <v>17.141767929473435</v>
      </c>
      <c r="I4" s="135" t="s">
        <v>306</v>
      </c>
      <c r="J4" s="136">
        <v>199014</v>
      </c>
      <c r="K4" s="137">
        <v>357175</v>
      </c>
      <c r="L4" s="137">
        <f>1702506</f>
        <v>1702506</v>
      </c>
      <c r="M4" s="137">
        <v>2040009</v>
      </c>
      <c r="N4" s="365">
        <v>699634</v>
      </c>
      <c r="O4" s="103">
        <f>N4/M4*100</f>
        <v>34.295633009462215</v>
      </c>
    </row>
    <row r="5" spans="1:15" ht="12.75" customHeight="1">
      <c r="A5" s="133" t="s">
        <v>8</v>
      </c>
      <c r="B5" s="138" t="s">
        <v>458</v>
      </c>
      <c r="C5" s="78">
        <v>175619</v>
      </c>
      <c r="D5" s="79">
        <v>11187</v>
      </c>
      <c r="E5" s="78">
        <v>8750</v>
      </c>
      <c r="F5" s="359">
        <v>8750</v>
      </c>
      <c r="G5" s="424">
        <v>1976</v>
      </c>
      <c r="H5" s="103">
        <f aca="true" t="shared" si="0" ref="H5:H16">G5/F5*100</f>
        <v>22.582857142857144</v>
      </c>
      <c r="I5" s="139" t="s">
        <v>307</v>
      </c>
      <c r="J5" s="114">
        <v>28695</v>
      </c>
      <c r="K5" s="115">
        <v>81695</v>
      </c>
      <c r="L5" s="115">
        <f>341410</f>
        <v>341410</v>
      </c>
      <c r="M5" s="115">
        <v>711761</v>
      </c>
      <c r="N5" s="367">
        <v>17537</v>
      </c>
      <c r="O5" s="103">
        <f>N5/M5*100</f>
        <v>2.463888861570106</v>
      </c>
    </row>
    <row r="6" spans="1:15" ht="22.5">
      <c r="A6" s="133" t="s">
        <v>10</v>
      </c>
      <c r="B6" s="138" t="s">
        <v>459</v>
      </c>
      <c r="C6" s="78"/>
      <c r="D6" s="79">
        <v>88750</v>
      </c>
      <c r="E6" s="78"/>
      <c r="F6" s="359"/>
      <c r="G6" s="424"/>
      <c r="H6" s="103"/>
      <c r="I6" s="140" t="s">
        <v>308</v>
      </c>
      <c r="J6" s="78"/>
      <c r="K6" s="79"/>
      <c r="L6" s="79"/>
      <c r="M6" s="79"/>
      <c r="N6" s="365"/>
      <c r="O6" s="103"/>
    </row>
    <row r="7" spans="1:15" ht="22.5">
      <c r="A7" s="133" t="s">
        <v>12</v>
      </c>
      <c r="B7" s="141" t="s">
        <v>404</v>
      </c>
      <c r="C7" s="78"/>
      <c r="D7" s="79"/>
      <c r="E7" s="78">
        <v>50000</v>
      </c>
      <c r="F7" s="359">
        <v>50000</v>
      </c>
      <c r="G7" s="424">
        <v>48796</v>
      </c>
      <c r="H7" s="103">
        <f t="shared" si="0"/>
        <v>97.592</v>
      </c>
      <c r="I7" s="140" t="s">
        <v>309</v>
      </c>
      <c r="J7" s="78">
        <v>210</v>
      </c>
      <c r="K7" s="79">
        <f>15+1324+887</f>
        <v>2226</v>
      </c>
      <c r="L7" s="79"/>
      <c r="M7" s="79"/>
      <c r="N7" s="365"/>
      <c r="O7" s="103"/>
    </row>
    <row r="8" spans="1:15" ht="12.75" customHeight="1">
      <c r="A8" s="133" t="s">
        <v>14</v>
      </c>
      <c r="B8" s="138" t="s">
        <v>310</v>
      </c>
      <c r="C8" s="78"/>
      <c r="D8" s="79"/>
      <c r="E8" s="78"/>
      <c r="F8" s="359">
        <v>1100</v>
      </c>
      <c r="G8" s="424">
        <f>5390</f>
        <v>5390</v>
      </c>
      <c r="H8" s="103">
        <f t="shared" si="0"/>
        <v>490.00000000000006</v>
      </c>
      <c r="I8" s="140" t="s">
        <v>311</v>
      </c>
      <c r="J8" s="78"/>
      <c r="K8" s="79">
        <v>61221</v>
      </c>
      <c r="L8" s="79"/>
      <c r="M8" s="79"/>
      <c r="N8" s="365"/>
      <c r="O8" s="103"/>
    </row>
    <row r="9" spans="1:15" ht="12.75">
      <c r="A9" s="133" t="s">
        <v>17</v>
      </c>
      <c r="B9" s="138" t="s">
        <v>312</v>
      </c>
      <c r="C9" s="78">
        <f>4889</f>
        <v>4889</v>
      </c>
      <c r="D9" s="79">
        <v>15098</v>
      </c>
      <c r="E9" s="78"/>
      <c r="F9" s="359"/>
      <c r="G9" s="424">
        <v>1100</v>
      </c>
      <c r="H9" s="103"/>
      <c r="I9" s="140" t="s">
        <v>283</v>
      </c>
      <c r="J9" s="78"/>
      <c r="K9" s="79"/>
      <c r="L9" s="79"/>
      <c r="M9" s="79"/>
      <c r="N9" s="365"/>
      <c r="O9" s="103"/>
    </row>
    <row r="10" spans="1:15" ht="12.75" customHeight="1">
      <c r="A10" s="133" t="s">
        <v>20</v>
      </c>
      <c r="B10" s="138" t="s">
        <v>462</v>
      </c>
      <c r="C10" s="78">
        <f>51+2500+3474+13400+720+200+1000+292</f>
        <v>21637</v>
      </c>
      <c r="D10" s="79">
        <f>15+253+960+9800+6498+3200</f>
        <v>20726</v>
      </c>
      <c r="E10" s="78">
        <f>8000</f>
        <v>8000</v>
      </c>
      <c r="F10" s="359">
        <f>8000+1400+211</f>
        <v>9611</v>
      </c>
      <c r="G10" s="424">
        <f>2486+211</f>
        <v>2697</v>
      </c>
      <c r="H10" s="103">
        <f t="shared" si="0"/>
        <v>28.061596087816042</v>
      </c>
      <c r="I10" s="140" t="s">
        <v>313</v>
      </c>
      <c r="J10" s="78"/>
      <c r="K10" s="79">
        <v>4100</v>
      </c>
      <c r="L10" s="79">
        <v>5000</v>
      </c>
      <c r="M10" s="79">
        <v>5000</v>
      </c>
      <c r="N10" s="365">
        <v>1800</v>
      </c>
      <c r="O10" s="103">
        <f>N10/M10*100</f>
        <v>36</v>
      </c>
    </row>
    <row r="11" spans="1:15" ht="12.75" customHeight="1">
      <c r="A11" s="133" t="s">
        <v>23</v>
      </c>
      <c r="B11" s="138" t="s">
        <v>275</v>
      </c>
      <c r="C11" s="78">
        <v>86136</v>
      </c>
      <c r="D11" s="79">
        <v>179552</v>
      </c>
      <c r="E11" s="78">
        <v>1663</v>
      </c>
      <c r="F11" s="359">
        <f>1663-1100+42000+17966</f>
        <v>60529</v>
      </c>
      <c r="G11" s="424"/>
      <c r="H11" s="103">
        <f t="shared" si="0"/>
        <v>0</v>
      </c>
      <c r="I11" s="140" t="s">
        <v>469</v>
      </c>
      <c r="J11" s="78"/>
      <c r="K11" s="79"/>
      <c r="L11" s="79"/>
      <c r="M11" s="79"/>
      <c r="N11" s="365"/>
      <c r="O11" s="103"/>
    </row>
    <row r="12" spans="1:15" ht="12.75">
      <c r="A12" s="133" t="s">
        <v>26</v>
      </c>
      <c r="B12" s="138" t="s">
        <v>460</v>
      </c>
      <c r="C12" s="78">
        <v>49207</v>
      </c>
      <c r="D12" s="79">
        <v>67658</v>
      </c>
      <c r="E12" s="78">
        <f>1505088+42000</f>
        <v>1547088</v>
      </c>
      <c r="F12" s="359">
        <f>1505088+42000+55689-42000</f>
        <v>1560777</v>
      </c>
      <c r="G12" s="424">
        <v>332007</v>
      </c>
      <c r="H12" s="103">
        <f t="shared" si="0"/>
        <v>21.27190495503201</v>
      </c>
      <c r="I12" s="140" t="s">
        <v>314</v>
      </c>
      <c r="J12" s="78"/>
      <c r="K12" s="79"/>
      <c r="L12" s="79">
        <v>50000</v>
      </c>
      <c r="M12" s="79">
        <v>50000</v>
      </c>
      <c r="N12" s="365">
        <v>89757</v>
      </c>
      <c r="O12" s="103">
        <f>N12/M12*100</f>
        <v>179.514</v>
      </c>
    </row>
    <row r="13" spans="1:15" ht="12.75" customHeight="1">
      <c r="A13" s="133" t="s">
        <v>29</v>
      </c>
      <c r="B13" s="138" t="s">
        <v>315</v>
      </c>
      <c r="C13" s="78">
        <v>10528</v>
      </c>
      <c r="D13" s="79">
        <v>9385</v>
      </c>
      <c r="E13" s="78">
        <v>9800</v>
      </c>
      <c r="F13" s="359">
        <v>9800</v>
      </c>
      <c r="G13" s="424">
        <v>6078</v>
      </c>
      <c r="H13" s="103">
        <f t="shared" si="0"/>
        <v>62.02040816326531</v>
      </c>
      <c r="I13" s="140" t="s">
        <v>316</v>
      </c>
      <c r="J13" s="78">
        <f>10822+33197-210</f>
        <v>43809</v>
      </c>
      <c r="K13" s="79">
        <v>13716</v>
      </c>
      <c r="L13" s="79">
        <v>39760</v>
      </c>
      <c r="M13" s="79">
        <v>39760</v>
      </c>
      <c r="N13" s="365">
        <f>2805+600</f>
        <v>3405</v>
      </c>
      <c r="O13" s="103">
        <f>N13/M13*100</f>
        <v>8.563883299798793</v>
      </c>
    </row>
    <row r="14" spans="1:15" ht="12.75" customHeight="1" thickBot="1">
      <c r="A14" s="133" t="s">
        <v>32</v>
      </c>
      <c r="B14" s="142" t="s">
        <v>317</v>
      </c>
      <c r="C14" s="143">
        <v>3939</v>
      </c>
      <c r="D14" s="144">
        <v>809</v>
      </c>
      <c r="E14" s="101">
        <v>183160</v>
      </c>
      <c r="F14" s="360">
        <v>183160</v>
      </c>
      <c r="G14" s="431">
        <v>34993</v>
      </c>
      <c r="H14" s="117">
        <f t="shared" si="0"/>
        <v>19.105153963747544</v>
      </c>
      <c r="I14" s="145"/>
      <c r="J14" s="143"/>
      <c r="K14" s="144"/>
      <c r="L14" s="144"/>
      <c r="M14" s="144"/>
      <c r="N14" s="368"/>
      <c r="O14" s="117"/>
    </row>
    <row r="15" spans="1:15" ht="22.5" customHeight="1" thickBot="1">
      <c r="A15" s="198" t="s">
        <v>35</v>
      </c>
      <c r="B15" s="277" t="s">
        <v>284</v>
      </c>
      <c r="C15" s="278">
        <f>SUM(C4:C14)</f>
        <v>360730</v>
      </c>
      <c r="D15" s="279">
        <f>SUM(D4:D14)</f>
        <v>444516</v>
      </c>
      <c r="E15" s="278">
        <f>SUM(E4:E14)</f>
        <v>2007261</v>
      </c>
      <c r="F15" s="493">
        <f>SUM(F4:F14)</f>
        <v>2093577</v>
      </c>
      <c r="G15" s="498">
        <f>SUM(G4:G14)</f>
        <v>469009</v>
      </c>
      <c r="H15" s="280">
        <f t="shared" si="0"/>
        <v>22.402280880999363</v>
      </c>
      <c r="I15" s="277" t="s">
        <v>285</v>
      </c>
      <c r="J15" s="278">
        <f>SUM(J4:J13)</f>
        <v>271728</v>
      </c>
      <c r="K15" s="279">
        <f>SUM(K4:K13)</f>
        <v>520133</v>
      </c>
      <c r="L15" s="279">
        <f>SUM(L4:L13)</f>
        <v>2138676</v>
      </c>
      <c r="M15" s="279">
        <f>SUM(M4:M13)</f>
        <v>2846530</v>
      </c>
      <c r="N15" s="490">
        <f>SUM(N4:N13)</f>
        <v>812133</v>
      </c>
      <c r="O15" s="280">
        <f>N15/M15*100</f>
        <v>28.53063203268541</v>
      </c>
    </row>
    <row r="16" spans="1:15" ht="22.5">
      <c r="A16" s="133" t="s">
        <v>37</v>
      </c>
      <c r="B16" s="147" t="s">
        <v>318</v>
      </c>
      <c r="C16" s="86">
        <v>205000</v>
      </c>
      <c r="D16" s="87">
        <f>387080+18000</f>
        <v>405080</v>
      </c>
      <c r="E16" s="86">
        <f>228411</f>
        <v>228411</v>
      </c>
      <c r="F16" s="362">
        <f>228411+1346640</f>
        <v>1575051</v>
      </c>
      <c r="G16" s="427">
        <f>'[3]mérleg ÚJ (2)'!G45</f>
        <v>741390</v>
      </c>
      <c r="H16" s="88">
        <f t="shared" si="0"/>
        <v>47.070856753209895</v>
      </c>
      <c r="I16" s="139" t="s">
        <v>287</v>
      </c>
      <c r="J16" s="114"/>
      <c r="K16" s="115"/>
      <c r="L16" s="115"/>
      <c r="M16" s="115"/>
      <c r="N16" s="367"/>
      <c r="O16" s="103"/>
    </row>
    <row r="17" spans="1:15" ht="12.75">
      <c r="A17" s="133" t="s">
        <v>39</v>
      </c>
      <c r="B17" s="138" t="s">
        <v>319</v>
      </c>
      <c r="C17" s="73"/>
      <c r="D17" s="121"/>
      <c r="E17" s="120"/>
      <c r="F17" s="494"/>
      <c r="G17" s="499"/>
      <c r="H17" s="103"/>
      <c r="I17" s="140" t="s">
        <v>288</v>
      </c>
      <c r="J17" s="78"/>
      <c r="K17" s="79"/>
      <c r="L17" s="79"/>
      <c r="M17" s="79"/>
      <c r="N17" s="365"/>
      <c r="O17" s="103"/>
    </row>
    <row r="18" spans="1:15" ht="12.75">
      <c r="A18" s="133" t="s">
        <v>41</v>
      </c>
      <c r="B18" s="138" t="s">
        <v>291</v>
      </c>
      <c r="C18" s="78"/>
      <c r="D18" s="79"/>
      <c r="E18" s="78"/>
      <c r="F18" s="359"/>
      <c r="G18" s="424"/>
      <c r="H18" s="103"/>
      <c r="I18" s="140" t="s">
        <v>290</v>
      </c>
      <c r="J18" s="78">
        <v>179859</v>
      </c>
      <c r="K18" s="79">
        <v>90861</v>
      </c>
      <c r="L18" s="79">
        <v>92196</v>
      </c>
      <c r="M18" s="79">
        <v>92196</v>
      </c>
      <c r="N18" s="365">
        <v>68223</v>
      </c>
      <c r="O18" s="103">
        <f>N18/M18*100</f>
        <v>73.99778732266043</v>
      </c>
    </row>
    <row r="19" spans="1:15" ht="12.75" customHeight="1">
      <c r="A19" s="133" t="s">
        <v>44</v>
      </c>
      <c r="B19" s="138" t="s">
        <v>293</v>
      </c>
      <c r="C19" s="78"/>
      <c r="D19" s="79"/>
      <c r="E19" s="78"/>
      <c r="F19" s="359"/>
      <c r="G19" s="424"/>
      <c r="H19" s="103"/>
      <c r="I19" s="140" t="s">
        <v>292</v>
      </c>
      <c r="J19" s="73"/>
      <c r="K19" s="74"/>
      <c r="L19" s="74"/>
      <c r="M19" s="74"/>
      <c r="N19" s="369"/>
      <c r="O19" s="103"/>
    </row>
    <row r="20" spans="1:15" ht="12.75" customHeight="1">
      <c r="A20" s="133" t="s">
        <v>46</v>
      </c>
      <c r="B20" s="138" t="s">
        <v>320</v>
      </c>
      <c r="C20" s="78"/>
      <c r="D20" s="79"/>
      <c r="E20" s="78"/>
      <c r="F20" s="495"/>
      <c r="G20" s="431"/>
      <c r="H20" s="103"/>
      <c r="I20" s="145" t="s">
        <v>294</v>
      </c>
      <c r="J20" s="78"/>
      <c r="K20" s="79"/>
      <c r="L20" s="79"/>
      <c r="M20" s="144"/>
      <c r="N20" s="368"/>
      <c r="O20" s="103"/>
    </row>
    <row r="21" spans="1:15" ht="12.75" customHeight="1">
      <c r="A21" s="133" t="s">
        <v>48</v>
      </c>
      <c r="B21" s="142" t="s">
        <v>296</v>
      </c>
      <c r="C21" s="78"/>
      <c r="D21" s="79"/>
      <c r="E21" s="78"/>
      <c r="F21" s="359"/>
      <c r="G21" s="424"/>
      <c r="H21" s="103"/>
      <c r="I21" s="140" t="s">
        <v>295</v>
      </c>
      <c r="J21" s="78"/>
      <c r="K21" s="79"/>
      <c r="L21" s="79"/>
      <c r="M21" s="79"/>
      <c r="N21" s="365"/>
      <c r="O21" s="103"/>
    </row>
    <row r="22" spans="1:15" ht="12.75" customHeight="1">
      <c r="A22" s="133" t="s">
        <v>50</v>
      </c>
      <c r="B22" s="138" t="s">
        <v>297</v>
      </c>
      <c r="C22" s="78">
        <v>1056080</v>
      </c>
      <c r="D22" s="79"/>
      <c r="E22" s="78"/>
      <c r="F22" s="358"/>
      <c r="G22" s="500"/>
      <c r="H22" s="103"/>
      <c r="I22" s="139" t="s">
        <v>463</v>
      </c>
      <c r="J22" s="78"/>
      <c r="K22" s="79"/>
      <c r="L22" s="79"/>
      <c r="M22" s="115"/>
      <c r="N22" s="367"/>
      <c r="O22" s="103"/>
    </row>
    <row r="23" spans="1:15" ht="12.75" customHeight="1">
      <c r="A23" s="133" t="s">
        <v>52</v>
      </c>
      <c r="B23" s="134" t="s">
        <v>470</v>
      </c>
      <c r="C23" s="78"/>
      <c r="D23" s="79">
        <v>59094</v>
      </c>
      <c r="E23" s="78"/>
      <c r="F23" s="358"/>
      <c r="G23" s="500"/>
      <c r="H23" s="103"/>
      <c r="I23" s="139" t="s">
        <v>298</v>
      </c>
      <c r="J23" s="78"/>
      <c r="K23" s="79"/>
      <c r="L23" s="79"/>
      <c r="M23" s="115"/>
      <c r="N23" s="367"/>
      <c r="O23" s="103"/>
    </row>
    <row r="24" spans="1:15" ht="12.75">
      <c r="A24" s="133" t="s">
        <v>83</v>
      </c>
      <c r="B24" s="148" t="s">
        <v>299</v>
      </c>
      <c r="C24" s="78"/>
      <c r="D24" s="79"/>
      <c r="E24" s="78"/>
      <c r="F24" s="358"/>
      <c r="G24" s="500"/>
      <c r="H24" s="103"/>
      <c r="I24" s="139"/>
      <c r="J24" s="78"/>
      <c r="K24" s="79"/>
      <c r="L24" s="79"/>
      <c r="M24" s="115"/>
      <c r="N24" s="367"/>
      <c r="O24" s="103"/>
    </row>
    <row r="25" spans="1:15" ht="12.75" customHeight="1" thickBot="1">
      <c r="A25" s="133" t="s">
        <v>85</v>
      </c>
      <c r="B25" s="148"/>
      <c r="C25" s="101"/>
      <c r="D25" s="102"/>
      <c r="E25" s="101"/>
      <c r="F25" s="360"/>
      <c r="G25" s="426"/>
      <c r="H25" s="117"/>
      <c r="I25" s="149"/>
      <c r="J25" s="101"/>
      <c r="K25" s="102"/>
      <c r="L25" s="102"/>
      <c r="M25" s="102"/>
      <c r="N25" s="370"/>
      <c r="O25" s="117"/>
    </row>
    <row r="26" spans="1:15" ht="22.5" customHeight="1" thickBot="1">
      <c r="A26" s="198" t="s">
        <v>86</v>
      </c>
      <c r="B26" s="277" t="s">
        <v>321</v>
      </c>
      <c r="C26" s="278">
        <f>SUM(C17:C25)</f>
        <v>1056080</v>
      </c>
      <c r="D26" s="279">
        <f>SUM(D17:D25)</f>
        <v>59094</v>
      </c>
      <c r="E26" s="278">
        <f>SUM(E17:E25)</f>
        <v>0</v>
      </c>
      <c r="F26" s="493">
        <f>SUM(F17:F25)</f>
        <v>0</v>
      </c>
      <c r="G26" s="498">
        <f>SUM(G17:G25)</f>
        <v>0</v>
      </c>
      <c r="H26" s="488"/>
      <c r="I26" s="489" t="s">
        <v>322</v>
      </c>
      <c r="J26" s="278">
        <f>SUM(J16:J25)</f>
        <v>179859</v>
      </c>
      <c r="K26" s="279">
        <f>SUM(K16:K25)</f>
        <v>90861</v>
      </c>
      <c r="L26" s="279">
        <f>SUM(L16:L25)</f>
        <v>92196</v>
      </c>
      <c r="M26" s="279">
        <f>SUM(M16:M25)</f>
        <v>92196</v>
      </c>
      <c r="N26" s="490">
        <f>SUM(N16:N25)</f>
        <v>68223</v>
      </c>
      <c r="O26" s="280">
        <f>N26/M26*100</f>
        <v>73.99778732266043</v>
      </c>
    </row>
    <row r="27" spans="1:15" ht="22.5" customHeight="1" thickBot="1">
      <c r="A27" s="198" t="s">
        <v>87</v>
      </c>
      <c r="B27" s="481" t="s">
        <v>323</v>
      </c>
      <c r="C27" s="482">
        <f>SUM(C26+C16+C15)</f>
        <v>1621810</v>
      </c>
      <c r="D27" s="483">
        <f>SUM(D26+D16+D15)</f>
        <v>908690</v>
      </c>
      <c r="E27" s="482">
        <f>SUM(E26+E16+E15)</f>
        <v>2235672</v>
      </c>
      <c r="F27" s="496">
        <f>SUM(F26+F16+F15)</f>
        <v>3668628</v>
      </c>
      <c r="G27" s="501">
        <f>SUM(G26+G16+G15)</f>
        <v>1210399</v>
      </c>
      <c r="H27" s="484">
        <f>G27/F27*100</f>
        <v>32.99323343767752</v>
      </c>
      <c r="I27" s="485" t="s">
        <v>324</v>
      </c>
      <c r="J27" s="482">
        <f>SUM(J26,J15)</f>
        <v>451587</v>
      </c>
      <c r="K27" s="483">
        <f>SUM(K26,K15)</f>
        <v>610994</v>
      </c>
      <c r="L27" s="483">
        <f>SUM(L26,L15)</f>
        <v>2230872</v>
      </c>
      <c r="M27" s="483">
        <f>SUM(M26,M15)</f>
        <v>2938726</v>
      </c>
      <c r="N27" s="486">
        <f>SUM(N26,N15)</f>
        <v>880356</v>
      </c>
      <c r="O27" s="487">
        <f>N27/M27*100</f>
        <v>29.95706302663127</v>
      </c>
    </row>
    <row r="28" spans="1:15" ht="16.5" customHeight="1" thickBot="1">
      <c r="A28" s="150" t="s">
        <v>88</v>
      </c>
      <c r="B28" s="479" t="s">
        <v>304</v>
      </c>
      <c r="C28" s="125"/>
      <c r="D28" s="126">
        <f>SUM(K15-D15)</f>
        <v>75617</v>
      </c>
      <c r="E28" s="125">
        <f>SUM(L15-E15)</f>
        <v>131415</v>
      </c>
      <c r="F28" s="125">
        <f>SUM(M15-F15)</f>
        <v>752953</v>
      </c>
      <c r="G28" s="125">
        <f>SUM(N15-G15)</f>
        <v>343124</v>
      </c>
      <c r="H28" s="127"/>
      <c r="I28" s="480" t="s">
        <v>305</v>
      </c>
      <c r="J28" s="125">
        <f>SUM(C15-J15)</f>
        <v>89002</v>
      </c>
      <c r="K28" s="125"/>
      <c r="L28" s="126"/>
      <c r="M28" s="126"/>
      <c r="N28" s="491"/>
      <c r="O28" s="492"/>
    </row>
  </sheetData>
  <sheetProtection selectLockedCells="1" selectUnlockedCells="1"/>
  <printOptions horizontalCentered="1" verticalCentered="1"/>
  <pageMargins left="0.39375" right="0.39375" top="0.7597222222222222" bottom="0.19652777777777777" header="0.39375" footer="0.5118055555555555"/>
  <pageSetup fitToHeight="1" fitToWidth="1" horizontalDpi="300" verticalDpi="300" orientation="landscape" paperSize="9" r:id="rId1"/>
  <headerFooter alignWithMargins="0">
    <oddHeader>&amp;L&amp;8  5. melléklet a …/…..(….) önkormányzati határozathoz&amp;C&amp;"Arial CE,Félkövér"&amp;11Felhalmozási célú bevételek és kiadások mérlege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6.önállóak bev-kiad"/>
  <dimension ref="A4:M26"/>
  <sheetViews>
    <sheetView zoomScale="75" zoomScaleNormal="75" workbookViewId="0" topLeftCell="A3">
      <pane ySplit="5" topLeftCell="BM8" activePane="bottomLeft" state="frozen"/>
      <selection pane="topLeft" activeCell="A3" sqref="A3"/>
      <selection pane="bottomLeft" activeCell="G29" sqref="G29"/>
    </sheetView>
  </sheetViews>
  <sheetFormatPr defaultColWidth="9.00390625" defaultRowHeight="12.75"/>
  <cols>
    <col min="1" max="1" width="34.25390625" style="0" customWidth="1"/>
    <col min="2" max="2" width="11.625" style="0" customWidth="1"/>
    <col min="3" max="3" width="12.00390625" style="0" customWidth="1"/>
    <col min="4" max="4" width="11.75390625" style="0" customWidth="1"/>
    <col min="5" max="5" width="5.75390625" style="0" customWidth="1"/>
    <col min="6" max="7" width="11.875" style="0" customWidth="1"/>
    <col min="8" max="8" width="12.00390625" style="0" customWidth="1"/>
    <col min="9" max="9" width="5.75390625" style="0" customWidth="1"/>
    <col min="10" max="10" width="11.625" style="0" customWidth="1"/>
    <col min="11" max="11" width="12.00390625" style="0" customWidth="1"/>
    <col min="12" max="12" width="10.875" style="0" customWidth="1"/>
    <col min="13" max="13" width="5.75390625" style="0" customWidth="1"/>
  </cols>
  <sheetData>
    <row r="4" ht="12.75">
      <c r="L4" s="152"/>
    </row>
    <row r="5" spans="1:13" ht="13.5" thickBot="1">
      <c r="A5" s="153"/>
      <c r="K5" s="536" t="s">
        <v>90</v>
      </c>
      <c r="L5" s="536"/>
      <c r="M5" s="154"/>
    </row>
    <row r="6" spans="1:13" ht="24.75" customHeight="1" thickBot="1">
      <c r="A6" s="313"/>
      <c r="B6" s="537" t="s">
        <v>330</v>
      </c>
      <c r="C6" s="537"/>
      <c r="D6" s="537"/>
      <c r="E6" s="537"/>
      <c r="F6" s="537" t="s">
        <v>331</v>
      </c>
      <c r="G6" s="537"/>
      <c r="H6" s="537"/>
      <c r="I6" s="537"/>
      <c r="J6" s="538" t="s">
        <v>332</v>
      </c>
      <c r="K6" s="538"/>
      <c r="L6" s="538"/>
      <c r="M6" s="538"/>
    </row>
    <row r="7" spans="1:13" ht="33.75" customHeight="1">
      <c r="A7" s="469" t="s">
        <v>325</v>
      </c>
      <c r="B7" s="470" t="s">
        <v>333</v>
      </c>
      <c r="C7" s="470" t="s">
        <v>334</v>
      </c>
      <c r="D7" s="471" t="s">
        <v>335</v>
      </c>
      <c r="E7" s="471" t="s">
        <v>336</v>
      </c>
      <c r="F7" s="470" t="s">
        <v>333</v>
      </c>
      <c r="G7" s="470" t="s">
        <v>334</v>
      </c>
      <c r="H7" s="471" t="s">
        <v>335</v>
      </c>
      <c r="I7" s="471" t="s">
        <v>336</v>
      </c>
      <c r="J7" s="470" t="s">
        <v>333</v>
      </c>
      <c r="K7" s="470" t="s">
        <v>334</v>
      </c>
      <c r="L7" s="471" t="s">
        <v>335</v>
      </c>
      <c r="M7" s="472" t="s">
        <v>336</v>
      </c>
    </row>
    <row r="8" spans="1:13" ht="21" customHeight="1">
      <c r="A8" s="315" t="s">
        <v>6</v>
      </c>
      <c r="B8" s="371">
        <v>425152</v>
      </c>
      <c r="C8" s="372">
        <v>436042</v>
      </c>
      <c r="D8" s="371">
        <v>312299</v>
      </c>
      <c r="E8" s="373">
        <f aca="true" t="shared" si="0" ref="E8:E23">D8/C8*100</f>
        <v>71.62131170850515</v>
      </c>
      <c r="F8" s="371">
        <v>425152</v>
      </c>
      <c r="G8" s="372">
        <v>436042</v>
      </c>
      <c r="H8" s="371">
        <v>307443</v>
      </c>
      <c r="I8" s="373">
        <f aca="true" t="shared" si="1" ref="I8:I23">H8/G8*100</f>
        <v>70.5076575192298</v>
      </c>
      <c r="J8" s="371">
        <v>254710</v>
      </c>
      <c r="K8" s="371">
        <v>257181</v>
      </c>
      <c r="L8" s="371">
        <v>194355</v>
      </c>
      <c r="M8" s="473">
        <f aca="true" t="shared" si="2" ref="M8:M21">L8/K8*100</f>
        <v>75.57129025861164</v>
      </c>
    </row>
    <row r="9" spans="1:13" ht="21" customHeight="1">
      <c r="A9" s="315" t="s">
        <v>327</v>
      </c>
      <c r="B9" s="371">
        <v>552495</v>
      </c>
      <c r="C9" s="372">
        <v>576551</v>
      </c>
      <c r="D9" s="371">
        <v>415658</v>
      </c>
      <c r="E9" s="373">
        <f t="shared" si="0"/>
        <v>72.09388241456523</v>
      </c>
      <c r="F9" s="371">
        <v>552495</v>
      </c>
      <c r="G9" s="372">
        <v>576551</v>
      </c>
      <c r="H9" s="371">
        <v>410691</v>
      </c>
      <c r="I9" s="373">
        <f t="shared" si="1"/>
        <v>71.23238013636262</v>
      </c>
      <c r="J9" s="371">
        <v>282648</v>
      </c>
      <c r="K9" s="371">
        <v>284960</v>
      </c>
      <c r="L9" s="371">
        <v>221505</v>
      </c>
      <c r="M9" s="473">
        <f t="shared" si="2"/>
        <v>77.731962380685</v>
      </c>
    </row>
    <row r="10" spans="1:13" ht="21" customHeight="1">
      <c r="A10" s="315" t="s">
        <v>337</v>
      </c>
      <c r="B10" s="155">
        <v>380036</v>
      </c>
      <c r="C10" s="155">
        <v>413870</v>
      </c>
      <c r="D10" s="155">
        <v>291336</v>
      </c>
      <c r="E10" s="156">
        <f t="shared" si="0"/>
        <v>70.39311861212458</v>
      </c>
      <c r="F10" s="155">
        <v>380036</v>
      </c>
      <c r="G10" s="155">
        <v>413870</v>
      </c>
      <c r="H10" s="155">
        <v>296330</v>
      </c>
      <c r="I10" s="156">
        <f t="shared" si="1"/>
        <v>71.59977770797593</v>
      </c>
      <c r="J10" s="155">
        <v>231662</v>
      </c>
      <c r="K10" s="155">
        <v>240882</v>
      </c>
      <c r="L10" s="155">
        <v>176011</v>
      </c>
      <c r="M10" s="473">
        <f t="shared" si="2"/>
        <v>73.06938667065202</v>
      </c>
    </row>
    <row r="11" spans="1:13" ht="21" customHeight="1">
      <c r="A11" s="315" t="s">
        <v>80</v>
      </c>
      <c r="B11" s="155">
        <v>1129153</v>
      </c>
      <c r="C11" s="155">
        <v>1179414</v>
      </c>
      <c r="D11" s="155">
        <v>808883</v>
      </c>
      <c r="E11" s="156">
        <f t="shared" si="0"/>
        <v>68.58346602634869</v>
      </c>
      <c r="F11" s="155">
        <v>1129153</v>
      </c>
      <c r="G11" s="155">
        <v>1179414</v>
      </c>
      <c r="H11" s="155">
        <v>806821</v>
      </c>
      <c r="I11" s="156">
        <f t="shared" si="1"/>
        <v>68.40863343999646</v>
      </c>
      <c r="J11" s="155">
        <v>620219</v>
      </c>
      <c r="K11" s="155">
        <v>625824</v>
      </c>
      <c r="L11" s="155">
        <v>460745</v>
      </c>
      <c r="M11" s="473">
        <f t="shared" si="2"/>
        <v>73.62213657513934</v>
      </c>
    </row>
    <row r="12" spans="1:13" ht="21" customHeight="1">
      <c r="A12" s="315" t="s">
        <v>36</v>
      </c>
      <c r="B12" s="155">
        <v>56749</v>
      </c>
      <c r="C12" s="155">
        <v>58565</v>
      </c>
      <c r="D12" s="155">
        <v>42537</v>
      </c>
      <c r="E12" s="156">
        <f t="shared" si="0"/>
        <v>72.63211815931017</v>
      </c>
      <c r="F12" s="155">
        <v>56749</v>
      </c>
      <c r="G12" s="155">
        <v>58565</v>
      </c>
      <c r="H12" s="155">
        <v>38330</v>
      </c>
      <c r="I12" s="156">
        <f t="shared" si="1"/>
        <v>65.44864680269785</v>
      </c>
      <c r="J12" s="155">
        <v>29436</v>
      </c>
      <c r="K12" s="157">
        <v>29658</v>
      </c>
      <c r="L12" s="155">
        <v>21912</v>
      </c>
      <c r="M12" s="473">
        <f t="shared" si="2"/>
        <v>73.88225773821566</v>
      </c>
    </row>
    <row r="13" spans="1:13" ht="21" customHeight="1">
      <c r="A13" s="309" t="s">
        <v>38</v>
      </c>
      <c r="B13" s="157">
        <v>59801</v>
      </c>
      <c r="C13" s="157">
        <v>132496</v>
      </c>
      <c r="D13" s="157">
        <v>113190</v>
      </c>
      <c r="E13" s="158">
        <f t="shared" si="0"/>
        <v>85.42899408284023</v>
      </c>
      <c r="F13" s="157">
        <v>59801</v>
      </c>
      <c r="G13" s="157">
        <v>132496</v>
      </c>
      <c r="H13" s="157">
        <v>110318</v>
      </c>
      <c r="I13" s="158">
        <f t="shared" si="1"/>
        <v>83.26138147566719</v>
      </c>
      <c r="J13" s="157">
        <v>29370</v>
      </c>
      <c r="K13" s="157">
        <v>36116</v>
      </c>
      <c r="L13" s="157">
        <v>26465</v>
      </c>
      <c r="M13" s="474">
        <f t="shared" si="2"/>
        <v>73.27777162476464</v>
      </c>
    </row>
    <row r="14" spans="1:13" ht="21" customHeight="1">
      <c r="A14" s="309" t="s">
        <v>40</v>
      </c>
      <c r="B14" s="157">
        <v>260048</v>
      </c>
      <c r="C14" s="157">
        <v>289826</v>
      </c>
      <c r="D14" s="157">
        <v>212233</v>
      </c>
      <c r="E14" s="158">
        <f t="shared" si="0"/>
        <v>73.22772974129306</v>
      </c>
      <c r="F14" s="157">
        <v>260048</v>
      </c>
      <c r="G14" s="157">
        <v>289826</v>
      </c>
      <c r="H14" s="157">
        <v>212233</v>
      </c>
      <c r="I14" s="158">
        <f t="shared" si="1"/>
        <v>73.22772974129306</v>
      </c>
      <c r="J14" s="157">
        <v>185145</v>
      </c>
      <c r="K14" s="157">
        <v>186497</v>
      </c>
      <c r="L14" s="157">
        <v>138739</v>
      </c>
      <c r="M14" s="474">
        <f t="shared" si="2"/>
        <v>74.39208137396311</v>
      </c>
    </row>
    <row r="15" spans="1:13" ht="21" customHeight="1">
      <c r="A15" s="309" t="s">
        <v>43</v>
      </c>
      <c r="B15" s="157">
        <v>3450</v>
      </c>
      <c r="C15" s="157">
        <v>4399</v>
      </c>
      <c r="D15" s="157">
        <v>2916</v>
      </c>
      <c r="E15" s="158">
        <f t="shared" si="0"/>
        <v>66.28779268015458</v>
      </c>
      <c r="F15" s="157">
        <v>3450</v>
      </c>
      <c r="G15" s="157">
        <v>4399</v>
      </c>
      <c r="H15" s="157">
        <v>1971</v>
      </c>
      <c r="I15" s="158">
        <f t="shared" si="1"/>
        <v>44.8056376449193</v>
      </c>
      <c r="J15" s="157"/>
      <c r="K15" s="157">
        <v>0</v>
      </c>
      <c r="L15" s="157">
        <v>0</v>
      </c>
      <c r="M15" s="474"/>
    </row>
    <row r="16" spans="1:13" ht="18" customHeight="1">
      <c r="A16" s="316" t="s">
        <v>78</v>
      </c>
      <c r="B16" s="159">
        <f>SUM(B8:B15)</f>
        <v>2866884</v>
      </c>
      <c r="C16" s="159">
        <f>SUM(C8:C15)</f>
        <v>3091163</v>
      </c>
      <c r="D16" s="159">
        <f>SUM(D8:D15)</f>
        <v>2199052</v>
      </c>
      <c r="E16" s="160">
        <f t="shared" si="0"/>
        <v>71.13995606184469</v>
      </c>
      <c r="F16" s="159">
        <f>SUM(F8:F15)</f>
        <v>2866884</v>
      </c>
      <c r="G16" s="159">
        <f>SUM(G8:G15)</f>
        <v>3091163</v>
      </c>
      <c r="H16" s="159">
        <f>SUM(H8:H15)</f>
        <v>2184137</v>
      </c>
      <c r="I16" s="374">
        <f t="shared" si="1"/>
        <v>70.65745158052164</v>
      </c>
      <c r="J16" s="159">
        <f>SUM(J8:J15)</f>
        <v>1633190</v>
      </c>
      <c r="K16" s="159">
        <f>SUM(K8:K15)</f>
        <v>1661118</v>
      </c>
      <c r="L16" s="159">
        <f>SUM(L8:L15)</f>
        <v>1239732</v>
      </c>
      <c r="M16" s="475">
        <f t="shared" si="2"/>
        <v>74.63238613993708</v>
      </c>
    </row>
    <row r="17" spans="1:13" ht="21" customHeight="1">
      <c r="A17" s="309" t="s">
        <v>45</v>
      </c>
      <c r="B17" s="157">
        <v>3754000</v>
      </c>
      <c r="C17" s="157">
        <v>4636876</v>
      </c>
      <c r="D17" s="157">
        <v>3696275</v>
      </c>
      <c r="E17" s="158">
        <f t="shared" si="0"/>
        <v>79.71476916786216</v>
      </c>
      <c r="F17" s="157">
        <v>3754000</v>
      </c>
      <c r="G17" s="157">
        <v>4636876</v>
      </c>
      <c r="H17" s="157">
        <v>2554769</v>
      </c>
      <c r="I17" s="158">
        <f t="shared" si="1"/>
        <v>55.09677205083767</v>
      </c>
      <c r="J17" s="157">
        <v>1960722</v>
      </c>
      <c r="K17" s="157">
        <v>1972034</v>
      </c>
      <c r="L17" s="157">
        <v>1336027</v>
      </c>
      <c r="M17" s="474">
        <f t="shared" si="2"/>
        <v>67.74867978949653</v>
      </c>
    </row>
    <row r="18" spans="1:13" ht="21" customHeight="1">
      <c r="A18" s="309" t="s">
        <v>47</v>
      </c>
      <c r="B18" s="157">
        <v>132000</v>
      </c>
      <c r="C18" s="157">
        <v>166742</v>
      </c>
      <c r="D18" s="157">
        <v>130136</v>
      </c>
      <c r="E18" s="158">
        <f t="shared" si="0"/>
        <v>78.04632306197598</v>
      </c>
      <c r="F18" s="157">
        <v>132000</v>
      </c>
      <c r="G18" s="157">
        <v>166742</v>
      </c>
      <c r="H18" s="157">
        <v>97250</v>
      </c>
      <c r="I18" s="158">
        <f t="shared" si="1"/>
        <v>58.323637715752476</v>
      </c>
      <c r="J18" s="157">
        <v>60349</v>
      </c>
      <c r="K18" s="157">
        <v>68316</v>
      </c>
      <c r="L18" s="157">
        <v>41932</v>
      </c>
      <c r="M18" s="474">
        <f t="shared" si="2"/>
        <v>61.37947186603431</v>
      </c>
    </row>
    <row r="19" spans="1:13" ht="22.5" customHeight="1">
      <c r="A19" s="316" t="s">
        <v>78</v>
      </c>
      <c r="B19" s="159">
        <f>SUM(B17:B18)</f>
        <v>3886000</v>
      </c>
      <c r="C19" s="159">
        <f>SUM(C17:C18)</f>
        <v>4803618</v>
      </c>
      <c r="D19" s="159">
        <f>SUM(D17:D18)</f>
        <v>3826411</v>
      </c>
      <c r="E19" s="160">
        <f t="shared" si="0"/>
        <v>79.65685447926958</v>
      </c>
      <c r="F19" s="159">
        <f>SUM(F17:F18)</f>
        <v>3886000</v>
      </c>
      <c r="G19" s="159">
        <f>SUM(G17:G18)</f>
        <v>4803618</v>
      </c>
      <c r="H19" s="159">
        <f>SUM(H17:H18)</f>
        <v>2652019</v>
      </c>
      <c r="I19" s="160">
        <f t="shared" si="1"/>
        <v>55.208782213739724</v>
      </c>
      <c r="J19" s="159">
        <f>SUM(J17:J18)</f>
        <v>2021071</v>
      </c>
      <c r="K19" s="159">
        <f>SUM(K17:K18)</f>
        <v>2040350</v>
      </c>
      <c r="L19" s="159">
        <f>SUM(L17:L18)</f>
        <v>1377959</v>
      </c>
      <c r="M19" s="476">
        <f t="shared" si="2"/>
        <v>67.53542284411989</v>
      </c>
    </row>
    <row r="20" spans="1:13" ht="21" customHeight="1">
      <c r="A20" s="308" t="s">
        <v>49</v>
      </c>
      <c r="B20" s="157">
        <f>6499881-B22-2270</f>
        <v>6495341</v>
      </c>
      <c r="C20" s="157">
        <v>7767468</v>
      </c>
      <c r="D20" s="157">
        <v>5950400</v>
      </c>
      <c r="E20" s="158">
        <f t="shared" si="0"/>
        <v>76.60668830563576</v>
      </c>
      <c r="F20" s="157">
        <f>6499881-F22-2270</f>
        <v>6495341</v>
      </c>
      <c r="G20" s="157">
        <v>7767468</v>
      </c>
      <c r="H20" s="157">
        <v>5836220</v>
      </c>
      <c r="I20" s="158">
        <f t="shared" si="1"/>
        <v>75.13671121657663</v>
      </c>
      <c r="J20" s="157">
        <v>369143</v>
      </c>
      <c r="K20" s="157">
        <v>447713</v>
      </c>
      <c r="L20" s="157">
        <v>348580</v>
      </c>
      <c r="M20" s="474">
        <f t="shared" si="2"/>
        <v>77.85791344008327</v>
      </c>
    </row>
    <row r="21" spans="1:13" ht="24.75" customHeight="1">
      <c r="A21" s="316" t="s">
        <v>78</v>
      </c>
      <c r="B21" s="159">
        <f>B16+B19+B20</f>
        <v>13248225</v>
      </c>
      <c r="C21" s="159">
        <f>C16+C19+C20</f>
        <v>15662249</v>
      </c>
      <c r="D21" s="159">
        <f>D16+D19+D20</f>
        <v>11975863</v>
      </c>
      <c r="E21" s="161">
        <f t="shared" si="0"/>
        <v>76.46323973013071</v>
      </c>
      <c r="F21" s="159">
        <f>F16+F19+F20</f>
        <v>13248225</v>
      </c>
      <c r="G21" s="159">
        <f>G16+G19+G20</f>
        <v>15662249</v>
      </c>
      <c r="H21" s="159">
        <f>H16+H19+H20</f>
        <v>10672376</v>
      </c>
      <c r="I21" s="161">
        <f t="shared" si="1"/>
        <v>68.14076318158395</v>
      </c>
      <c r="J21" s="159">
        <f>J16+J19+J20</f>
        <v>4023404</v>
      </c>
      <c r="K21" s="159">
        <f>K16+K19+K20</f>
        <v>4149181</v>
      </c>
      <c r="L21" s="159">
        <f>L16+L19+L20</f>
        <v>2966271</v>
      </c>
      <c r="M21" s="477">
        <f t="shared" si="2"/>
        <v>71.49051824926414</v>
      </c>
    </row>
    <row r="22" spans="1:13" ht="21" customHeight="1" thickBot="1">
      <c r="A22" s="453" t="s">
        <v>328</v>
      </c>
      <c r="B22" s="168">
        <v>2270</v>
      </c>
      <c r="C22" s="168">
        <v>2641</v>
      </c>
      <c r="D22" s="168">
        <v>1327</v>
      </c>
      <c r="E22" s="463">
        <f t="shared" si="0"/>
        <v>50.24611889435819</v>
      </c>
      <c r="F22" s="168">
        <v>2270</v>
      </c>
      <c r="G22" s="168">
        <v>2641</v>
      </c>
      <c r="H22" s="168">
        <v>2208</v>
      </c>
      <c r="I22" s="463">
        <f t="shared" si="1"/>
        <v>83.60469519121546</v>
      </c>
      <c r="J22" s="168">
        <v>0</v>
      </c>
      <c r="K22" s="168">
        <v>0</v>
      </c>
      <c r="L22" s="168">
        <v>68</v>
      </c>
      <c r="M22" s="478"/>
    </row>
    <row r="23" spans="1:13" ht="24.75" customHeight="1" thickBot="1">
      <c r="A23" s="464" t="s">
        <v>329</v>
      </c>
      <c r="B23" s="465">
        <f>SUM(B21:B22)</f>
        <v>13250495</v>
      </c>
      <c r="C23" s="465">
        <f>SUM(C21:C22)</f>
        <v>15664890</v>
      </c>
      <c r="D23" s="465">
        <f>SUM(D21:D22)</f>
        <v>11977190</v>
      </c>
      <c r="E23" s="466">
        <f t="shared" si="0"/>
        <v>76.45881969167992</v>
      </c>
      <c r="F23" s="465">
        <f>SUM(F21:F22)</f>
        <v>13250495</v>
      </c>
      <c r="G23" s="465">
        <f>SUM(G21:G22)</f>
        <v>15664890</v>
      </c>
      <c r="H23" s="465">
        <f>SUM(H21:H22)</f>
        <v>10674584</v>
      </c>
      <c r="I23" s="467">
        <f t="shared" si="1"/>
        <v>68.14337030135546</v>
      </c>
      <c r="J23" s="465">
        <f>SUM(J21:J22)</f>
        <v>4023404</v>
      </c>
      <c r="K23" s="465">
        <f>SUM(K21:K22)</f>
        <v>4149181</v>
      </c>
      <c r="L23" s="465">
        <f>SUM(L21:L22)</f>
        <v>2966339</v>
      </c>
      <c r="M23" s="468">
        <f>L23/K23*100</f>
        <v>71.49215712691252</v>
      </c>
    </row>
    <row r="24" spans="1:13" ht="15">
      <c r="A24" s="162"/>
      <c r="B24" s="241"/>
      <c r="C24" s="314"/>
      <c r="D24" s="314"/>
      <c r="E24" s="241"/>
      <c r="F24" s="241"/>
      <c r="G24" s="314"/>
      <c r="H24" s="314"/>
      <c r="I24" s="241"/>
      <c r="J24" s="241"/>
      <c r="K24" s="241"/>
      <c r="L24" s="241"/>
      <c r="M24" s="241"/>
    </row>
    <row r="25" spans="2:13" ht="15">
      <c r="B25" s="312"/>
      <c r="C25" s="312"/>
      <c r="D25" s="311"/>
      <c r="E25" s="241"/>
      <c r="F25" s="241"/>
      <c r="G25" s="241"/>
      <c r="H25" s="311"/>
      <c r="I25" s="241"/>
      <c r="J25" s="241"/>
      <c r="K25" s="241"/>
      <c r="L25" s="241"/>
      <c r="M25" s="241"/>
    </row>
    <row r="26" spans="2:13" ht="15"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</row>
  </sheetData>
  <sheetProtection selectLockedCells="1" selectUnlockedCells="1"/>
  <mergeCells count="4">
    <mergeCell ref="K5:L5"/>
    <mergeCell ref="B6:E6"/>
    <mergeCell ref="F6:I6"/>
    <mergeCell ref="J6:M6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landscape" paperSize="9" scale="85" r:id="rId1"/>
  <headerFooter alignWithMargins="0">
    <oddHeader>&amp;L&amp;9 6. melléklet  a …/…..(….) önkormányzati határozathoz&amp;C&amp;"Arial CE,Félkövér"&amp;12
Önállóan működő és gazdálkodó költségvetési szervek 2011. III. negyedévi bevételei és kiadásai részletezése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7.részl. bevételek"/>
  <dimension ref="A4:K2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2" sqref="J22:J23"/>
    </sheetView>
  </sheetViews>
  <sheetFormatPr defaultColWidth="9.00390625" defaultRowHeight="12.75"/>
  <cols>
    <col min="1" max="1" width="27.625" style="0" customWidth="1"/>
    <col min="2" max="2" width="11.75390625" style="0" customWidth="1"/>
    <col min="3" max="3" width="11.375" style="0" customWidth="1"/>
    <col min="4" max="4" width="10.25390625" style="0" customWidth="1"/>
    <col min="5" max="7" width="10.875" style="0" customWidth="1"/>
    <col min="8" max="8" width="10.125" style="0" customWidth="1"/>
    <col min="10" max="10" width="11.625" style="0" customWidth="1"/>
    <col min="11" max="11" width="12.125" style="0" customWidth="1"/>
  </cols>
  <sheetData>
    <row r="4" spans="1:10" ht="12.75">
      <c r="A4" s="153"/>
      <c r="I4" s="539" t="s">
        <v>90</v>
      </c>
      <c r="J4" s="539"/>
    </row>
    <row r="5" spans="1:10" ht="60" customHeight="1" thickBot="1">
      <c r="A5" s="458" t="s">
        <v>325</v>
      </c>
      <c r="B5" s="459" t="s">
        <v>338</v>
      </c>
      <c r="C5" s="459" t="s">
        <v>339</v>
      </c>
      <c r="D5" s="459" t="s">
        <v>340</v>
      </c>
      <c r="E5" s="459" t="s">
        <v>341</v>
      </c>
      <c r="F5" s="459" t="s">
        <v>342</v>
      </c>
      <c r="G5" s="459" t="s">
        <v>343</v>
      </c>
      <c r="H5" s="459" t="s">
        <v>344</v>
      </c>
      <c r="I5" s="459" t="s">
        <v>345</v>
      </c>
      <c r="J5" s="460" t="s">
        <v>78</v>
      </c>
    </row>
    <row r="6" spans="1:11" ht="15.75" customHeight="1">
      <c r="A6" s="450" t="s">
        <v>346</v>
      </c>
      <c r="B6" s="451">
        <v>16775</v>
      </c>
      <c r="C6" s="451">
        <v>3649</v>
      </c>
      <c r="D6" s="451">
        <v>0</v>
      </c>
      <c r="E6" s="451">
        <v>291875</v>
      </c>
      <c r="F6" s="451">
        <v>0</v>
      </c>
      <c r="G6" s="451">
        <v>0</v>
      </c>
      <c r="H6" s="451">
        <v>0</v>
      </c>
      <c r="I6" s="451">
        <v>0</v>
      </c>
      <c r="J6" s="452">
        <f aca="true" t="shared" si="0" ref="J6:J13">SUM(B6:I6)</f>
        <v>312299</v>
      </c>
      <c r="K6" s="163"/>
    </row>
    <row r="7" spans="1:11" ht="15.75" customHeight="1">
      <c r="A7" s="309" t="s">
        <v>327</v>
      </c>
      <c r="B7" s="164">
        <v>30398</v>
      </c>
      <c r="C7" s="164">
        <v>13154</v>
      </c>
      <c r="D7" s="164">
        <v>0</v>
      </c>
      <c r="E7" s="157">
        <v>370246</v>
      </c>
      <c r="F7" s="164">
        <v>0</v>
      </c>
      <c r="G7" s="157">
        <v>1860</v>
      </c>
      <c r="H7" s="164">
        <v>0</v>
      </c>
      <c r="I7" s="157">
        <v>0</v>
      </c>
      <c r="J7" s="461">
        <f t="shared" si="0"/>
        <v>415658</v>
      </c>
      <c r="K7" s="163"/>
    </row>
    <row r="8" spans="1:11" ht="15.75" customHeight="1">
      <c r="A8" s="308" t="s">
        <v>347</v>
      </c>
      <c r="B8" s="157">
        <v>2648</v>
      </c>
      <c r="C8" s="157">
        <v>31400</v>
      </c>
      <c r="D8" s="157">
        <v>7229</v>
      </c>
      <c r="E8" s="157">
        <v>247181</v>
      </c>
      <c r="F8" s="157">
        <v>0</v>
      </c>
      <c r="G8" s="157">
        <v>0</v>
      </c>
      <c r="H8" s="157">
        <v>0</v>
      </c>
      <c r="I8" s="157">
        <v>2878</v>
      </c>
      <c r="J8" s="456">
        <f t="shared" si="0"/>
        <v>291336</v>
      </c>
      <c r="K8" s="163"/>
    </row>
    <row r="9" spans="1:11" ht="15.75" customHeight="1">
      <c r="A9" s="309" t="s">
        <v>80</v>
      </c>
      <c r="B9" s="164">
        <v>61709</v>
      </c>
      <c r="C9" s="164">
        <v>3883</v>
      </c>
      <c r="D9" s="164">
        <v>0</v>
      </c>
      <c r="E9" s="157">
        <v>741832</v>
      </c>
      <c r="F9" s="164">
        <v>0</v>
      </c>
      <c r="G9" s="157">
        <v>0</v>
      </c>
      <c r="H9" s="164">
        <v>0</v>
      </c>
      <c r="I9" s="157">
        <v>1459</v>
      </c>
      <c r="J9" s="461">
        <f t="shared" si="0"/>
        <v>808883</v>
      </c>
      <c r="K9" s="163"/>
    </row>
    <row r="10" spans="1:11" ht="15.75" customHeight="1">
      <c r="A10" s="308" t="s">
        <v>36</v>
      </c>
      <c r="B10" s="157">
        <v>725</v>
      </c>
      <c r="C10" s="157">
        <v>10454</v>
      </c>
      <c r="D10" s="157">
        <v>0</v>
      </c>
      <c r="E10" s="157">
        <v>29824</v>
      </c>
      <c r="F10" s="157">
        <v>0</v>
      </c>
      <c r="G10" s="157">
        <v>1534</v>
      </c>
      <c r="H10" s="157">
        <v>0</v>
      </c>
      <c r="I10" s="157">
        <v>0</v>
      </c>
      <c r="J10" s="456">
        <f t="shared" si="0"/>
        <v>42537</v>
      </c>
      <c r="K10" s="163"/>
    </row>
    <row r="11" spans="1:11" ht="15.75" customHeight="1">
      <c r="A11" s="309" t="s">
        <v>38</v>
      </c>
      <c r="B11" s="164">
        <v>18423</v>
      </c>
      <c r="C11" s="164">
        <v>406</v>
      </c>
      <c r="D11" s="164">
        <v>0</v>
      </c>
      <c r="E11" s="157">
        <v>80863</v>
      </c>
      <c r="F11" s="164">
        <v>0</v>
      </c>
      <c r="G11" s="157">
        <v>13498</v>
      </c>
      <c r="H11" s="164">
        <v>0</v>
      </c>
      <c r="I11" s="157">
        <v>0</v>
      </c>
      <c r="J11" s="461">
        <f t="shared" si="0"/>
        <v>113190</v>
      </c>
      <c r="K11" s="163"/>
    </row>
    <row r="12" spans="1:11" ht="15.75" customHeight="1">
      <c r="A12" s="309" t="s">
        <v>348</v>
      </c>
      <c r="B12" s="164">
        <v>6878</v>
      </c>
      <c r="C12" s="164">
        <v>6224</v>
      </c>
      <c r="D12" s="164">
        <v>0</v>
      </c>
      <c r="E12" s="157">
        <v>183632</v>
      </c>
      <c r="F12" s="164">
        <v>0</v>
      </c>
      <c r="G12" s="157">
        <v>15499</v>
      </c>
      <c r="H12" s="164">
        <v>0</v>
      </c>
      <c r="I12" s="157">
        <v>0</v>
      </c>
      <c r="J12" s="461">
        <f t="shared" si="0"/>
        <v>212233</v>
      </c>
      <c r="K12" s="163"/>
    </row>
    <row r="13" spans="1:11" ht="15.75" customHeight="1">
      <c r="A13" s="308" t="s">
        <v>43</v>
      </c>
      <c r="B13" s="164">
        <v>1967</v>
      </c>
      <c r="C13" s="164">
        <v>0</v>
      </c>
      <c r="D13" s="164">
        <v>0</v>
      </c>
      <c r="E13" s="164">
        <v>0</v>
      </c>
      <c r="F13" s="164">
        <v>0</v>
      </c>
      <c r="G13" s="164">
        <v>949</v>
      </c>
      <c r="H13" s="164">
        <v>0</v>
      </c>
      <c r="I13" s="164">
        <v>0</v>
      </c>
      <c r="J13" s="461">
        <f t="shared" si="0"/>
        <v>2916</v>
      </c>
      <c r="K13" s="163"/>
    </row>
    <row r="14" spans="1:11" ht="15.75" customHeight="1">
      <c r="A14" s="310" t="s">
        <v>78</v>
      </c>
      <c r="B14" s="165">
        <f aca="true" t="shared" si="1" ref="B14:J14">SUM(B6:B13)</f>
        <v>139523</v>
      </c>
      <c r="C14" s="165">
        <f t="shared" si="1"/>
        <v>69170</v>
      </c>
      <c r="D14" s="165">
        <f t="shared" si="1"/>
        <v>7229</v>
      </c>
      <c r="E14" s="165">
        <f t="shared" si="1"/>
        <v>1945453</v>
      </c>
      <c r="F14" s="165">
        <f t="shared" si="1"/>
        <v>0</v>
      </c>
      <c r="G14" s="165">
        <f t="shared" si="1"/>
        <v>33340</v>
      </c>
      <c r="H14" s="165">
        <f t="shared" si="1"/>
        <v>0</v>
      </c>
      <c r="I14" s="165">
        <f t="shared" si="1"/>
        <v>4337</v>
      </c>
      <c r="J14" s="455">
        <f t="shared" si="1"/>
        <v>2199052</v>
      </c>
      <c r="K14" s="166"/>
    </row>
    <row r="15" spans="1:11" ht="15.75" customHeight="1">
      <c r="A15" s="309" t="s">
        <v>45</v>
      </c>
      <c r="B15" s="164">
        <v>112346</v>
      </c>
      <c r="C15" s="164">
        <v>2844219</v>
      </c>
      <c r="D15" s="164">
        <v>22</v>
      </c>
      <c r="E15" s="164">
        <v>4647</v>
      </c>
      <c r="F15" s="164">
        <v>0</v>
      </c>
      <c r="G15" s="164">
        <v>864150</v>
      </c>
      <c r="H15" s="164">
        <v>0</v>
      </c>
      <c r="I15" s="164">
        <v>-129109</v>
      </c>
      <c r="J15" s="461">
        <f>SUM(B15:I15)</f>
        <v>3696275</v>
      </c>
      <c r="K15" s="163"/>
    </row>
    <row r="16" spans="1:11" ht="15.75" customHeight="1">
      <c r="A16" s="309" t="s">
        <v>349</v>
      </c>
      <c r="B16" s="164">
        <v>3327</v>
      </c>
      <c r="C16" s="164">
        <v>92307</v>
      </c>
      <c r="D16" s="164">
        <v>0</v>
      </c>
      <c r="E16" s="164">
        <v>124</v>
      </c>
      <c r="F16" s="164">
        <v>0</v>
      </c>
      <c r="G16" s="164">
        <v>34149</v>
      </c>
      <c r="H16" s="164">
        <v>0</v>
      </c>
      <c r="I16" s="164">
        <v>229</v>
      </c>
      <c r="J16" s="461">
        <f>SUM(B16:I16)</f>
        <v>130136</v>
      </c>
      <c r="K16" s="163"/>
    </row>
    <row r="17" spans="1:11" ht="15.75" customHeight="1">
      <c r="A17" s="310" t="s">
        <v>78</v>
      </c>
      <c r="B17" s="165">
        <f aca="true" t="shared" si="2" ref="B17:G17">SUM(B15+B16)</f>
        <v>115673</v>
      </c>
      <c r="C17" s="165">
        <f t="shared" si="2"/>
        <v>2936526</v>
      </c>
      <c r="D17" s="165">
        <f t="shared" si="2"/>
        <v>22</v>
      </c>
      <c r="E17" s="165">
        <f t="shared" si="2"/>
        <v>4771</v>
      </c>
      <c r="F17" s="165">
        <f t="shared" si="2"/>
        <v>0</v>
      </c>
      <c r="G17" s="165">
        <f t="shared" si="2"/>
        <v>898299</v>
      </c>
      <c r="H17" s="165">
        <v>0</v>
      </c>
      <c r="I17" s="165">
        <f>SUM(I15+I16)</f>
        <v>-128880</v>
      </c>
      <c r="J17" s="455">
        <f>SUM(B17:I17)</f>
        <v>3826411</v>
      </c>
      <c r="K17" s="166"/>
    </row>
    <row r="18" spans="1:10" ht="15.75" customHeight="1">
      <c r="A18" s="308" t="s">
        <v>49</v>
      </c>
      <c r="B18" s="164">
        <v>1343888</v>
      </c>
      <c r="C18" s="164">
        <v>270538</v>
      </c>
      <c r="D18" s="164">
        <v>444337</v>
      </c>
      <c r="E18" s="164">
        <v>1947771</v>
      </c>
      <c r="F18" s="164">
        <v>6078</v>
      </c>
      <c r="G18" s="164">
        <v>123776</v>
      </c>
      <c r="H18" s="164">
        <v>1787781</v>
      </c>
      <c r="I18" s="164">
        <v>26231</v>
      </c>
      <c r="J18" s="461">
        <f>SUM(B18:I18)</f>
        <v>5950400</v>
      </c>
    </row>
    <row r="19" spans="1:10" ht="15.75" customHeight="1">
      <c r="A19" s="310" t="s">
        <v>78</v>
      </c>
      <c r="B19" s="165">
        <f aca="true" t="shared" si="3" ref="B19:J19">B14+B17+B18</f>
        <v>1599084</v>
      </c>
      <c r="C19" s="165">
        <f t="shared" si="3"/>
        <v>3276234</v>
      </c>
      <c r="D19" s="165">
        <f t="shared" si="3"/>
        <v>451588</v>
      </c>
      <c r="E19" s="165">
        <f t="shared" si="3"/>
        <v>3897995</v>
      </c>
      <c r="F19" s="165">
        <f t="shared" si="3"/>
        <v>6078</v>
      </c>
      <c r="G19" s="165">
        <f t="shared" si="3"/>
        <v>1055415</v>
      </c>
      <c r="H19" s="165">
        <f t="shared" si="3"/>
        <v>1787781</v>
      </c>
      <c r="I19" s="165">
        <f t="shared" si="3"/>
        <v>-98312</v>
      </c>
      <c r="J19" s="455">
        <f t="shared" si="3"/>
        <v>11975863</v>
      </c>
    </row>
    <row r="20" spans="1:10" ht="15.75" customHeight="1" thickBot="1">
      <c r="A20" s="453" t="s">
        <v>328</v>
      </c>
      <c r="B20" s="167"/>
      <c r="C20" s="167">
        <v>1327</v>
      </c>
      <c r="D20" s="167"/>
      <c r="E20" s="167"/>
      <c r="F20" s="167"/>
      <c r="G20" s="167"/>
      <c r="H20" s="167"/>
      <c r="I20" s="167"/>
      <c r="J20" s="462">
        <f>SUM(B20:I20)</f>
        <v>1327</v>
      </c>
    </row>
    <row r="21" spans="1:10" ht="24.75" customHeight="1" thickBot="1">
      <c r="A21" s="457" t="s">
        <v>329</v>
      </c>
      <c r="B21" s="448">
        <f aca="true" t="shared" si="4" ref="B21:J21">B14+B17+B18+B20</f>
        <v>1599084</v>
      </c>
      <c r="C21" s="448">
        <f t="shared" si="4"/>
        <v>3277561</v>
      </c>
      <c r="D21" s="448">
        <f t="shared" si="4"/>
        <v>451588</v>
      </c>
      <c r="E21" s="448">
        <f t="shared" si="4"/>
        <v>3897995</v>
      </c>
      <c r="F21" s="448">
        <f t="shared" si="4"/>
        <v>6078</v>
      </c>
      <c r="G21" s="448">
        <f t="shared" si="4"/>
        <v>1055415</v>
      </c>
      <c r="H21" s="448">
        <f t="shared" si="4"/>
        <v>1787781</v>
      </c>
      <c r="I21" s="448">
        <f t="shared" si="4"/>
        <v>-98312</v>
      </c>
      <c r="J21" s="449">
        <f t="shared" si="4"/>
        <v>11977190</v>
      </c>
    </row>
    <row r="22" spans="1:10" ht="15.75">
      <c r="A22" s="305" t="s">
        <v>54</v>
      </c>
      <c r="B22" s="306"/>
      <c r="C22" s="307"/>
      <c r="D22" s="307"/>
      <c r="E22" s="307"/>
      <c r="F22" s="306"/>
      <c r="G22" s="307"/>
      <c r="H22" s="307"/>
      <c r="I22" s="306"/>
      <c r="J22" s="446">
        <v>-1950224</v>
      </c>
    </row>
    <row r="23" ht="12.75">
      <c r="J23" s="271">
        <f>SUM(J21:J22)</f>
        <v>10026966</v>
      </c>
    </row>
  </sheetData>
  <sheetProtection selectLockedCells="1" selectUnlockedCells="1"/>
  <mergeCells count="1">
    <mergeCell ref="I4:J4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 scale="110" r:id="rId1"/>
  <headerFooter alignWithMargins="0">
    <oddHeader>&amp;L&amp;9 7. melléklet a .../...(....) önkormányzati határozathoz&amp;C&amp;"Arial CE,Félkövér"&amp;11
Önállóan működő és gazdálkodó költségvetési szervek 2011. III. negyedévi bevételei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8.részl.kiadások"/>
  <dimension ref="A4:L24"/>
  <sheetViews>
    <sheetView workbookViewId="0" topLeftCell="A1">
      <pane xSplit="1" ySplit="6" topLeftCell="B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3" sqref="L23:L24"/>
    </sheetView>
  </sheetViews>
  <sheetFormatPr defaultColWidth="9.00390625" defaultRowHeight="12.75"/>
  <cols>
    <col min="1" max="1" width="24.375" style="0" customWidth="1"/>
    <col min="2" max="2" width="10.875" style="0" customWidth="1"/>
    <col min="3" max="3" width="10.375" style="0" customWidth="1"/>
    <col min="4" max="4" width="11.375" style="0" customWidth="1"/>
    <col min="5" max="5" width="9.875" style="0" customWidth="1"/>
    <col min="6" max="7" width="10.875" style="0" customWidth="1"/>
    <col min="8" max="8" width="9.875" style="0" customWidth="1"/>
    <col min="9" max="9" width="10.75390625" style="0" customWidth="1"/>
    <col min="10" max="10" width="9.875" style="0" customWidth="1"/>
    <col min="11" max="11" width="8.375" style="0" customWidth="1"/>
    <col min="12" max="12" width="11.25390625" style="0" bestFit="1" customWidth="1"/>
  </cols>
  <sheetData>
    <row r="4" ht="12.75">
      <c r="A4" s="153"/>
    </row>
    <row r="5" spans="1:12" ht="13.5" thickBot="1">
      <c r="A5" s="153"/>
      <c r="E5" s="152"/>
      <c r="K5" s="536" t="s">
        <v>90</v>
      </c>
      <c r="L5" s="536"/>
    </row>
    <row r="6" spans="1:12" ht="76.5" customHeight="1" thickBot="1">
      <c r="A6" s="528" t="s">
        <v>325</v>
      </c>
      <c r="B6" s="529" t="s">
        <v>350</v>
      </c>
      <c r="C6" s="529" t="s">
        <v>326</v>
      </c>
      <c r="D6" s="529" t="s">
        <v>351</v>
      </c>
      <c r="E6" s="529" t="s">
        <v>279</v>
      </c>
      <c r="F6" s="530" t="s">
        <v>352</v>
      </c>
      <c r="G6" s="529" t="s">
        <v>313</v>
      </c>
      <c r="H6" s="529" t="s">
        <v>353</v>
      </c>
      <c r="I6" s="529" t="s">
        <v>354</v>
      </c>
      <c r="J6" s="529" t="s">
        <v>355</v>
      </c>
      <c r="K6" s="531" t="s">
        <v>356</v>
      </c>
      <c r="L6" s="532" t="s">
        <v>78</v>
      </c>
    </row>
    <row r="7" spans="1:12" ht="19.5" customHeight="1">
      <c r="A7" s="450" t="s">
        <v>357</v>
      </c>
      <c r="B7" s="451">
        <v>194355</v>
      </c>
      <c r="C7" s="451">
        <v>52393</v>
      </c>
      <c r="D7" s="451">
        <v>55620</v>
      </c>
      <c r="E7" s="451">
        <v>2649</v>
      </c>
      <c r="F7" s="451">
        <v>0</v>
      </c>
      <c r="G7" s="451">
        <v>0</v>
      </c>
      <c r="H7" s="451">
        <v>0</v>
      </c>
      <c r="I7" s="451"/>
      <c r="J7" s="451">
        <v>0</v>
      </c>
      <c r="K7" s="451">
        <v>2426</v>
      </c>
      <c r="L7" s="452">
        <f aca="true" t="shared" si="0" ref="L7:L14">SUM(B7:K7)</f>
        <v>307443</v>
      </c>
    </row>
    <row r="8" spans="1:12" ht="19.5" customHeight="1">
      <c r="A8" s="308" t="s">
        <v>358</v>
      </c>
      <c r="B8" s="157">
        <v>221505</v>
      </c>
      <c r="C8" s="157">
        <v>59805</v>
      </c>
      <c r="D8" s="157">
        <v>102043</v>
      </c>
      <c r="E8" s="157">
        <v>25001</v>
      </c>
      <c r="F8" s="157">
        <v>0</v>
      </c>
      <c r="G8" s="157">
        <v>0</v>
      </c>
      <c r="H8" s="157">
        <v>2486</v>
      </c>
      <c r="I8" s="157"/>
      <c r="J8" s="157">
        <v>0</v>
      </c>
      <c r="K8" s="157">
        <v>-149</v>
      </c>
      <c r="L8" s="456">
        <f t="shared" si="0"/>
        <v>410691</v>
      </c>
    </row>
    <row r="9" spans="1:12" ht="19.5" customHeight="1">
      <c r="A9" s="453" t="s">
        <v>359</v>
      </c>
      <c r="B9" s="168">
        <v>176011</v>
      </c>
      <c r="C9" s="168">
        <v>45789</v>
      </c>
      <c r="D9" s="168">
        <v>47611</v>
      </c>
      <c r="E9" s="168">
        <v>17995</v>
      </c>
      <c r="F9" s="168">
        <v>0</v>
      </c>
      <c r="G9" s="168">
        <v>0</v>
      </c>
      <c r="H9" s="168">
        <v>3341</v>
      </c>
      <c r="I9" s="168"/>
      <c r="J9" s="168">
        <v>584</v>
      </c>
      <c r="K9" s="168">
        <v>4999</v>
      </c>
      <c r="L9" s="454">
        <f t="shared" si="0"/>
        <v>296330</v>
      </c>
    </row>
    <row r="10" spans="1:12" ht="19.5" customHeight="1">
      <c r="A10" s="517" t="s">
        <v>360</v>
      </c>
      <c r="B10" s="518">
        <v>460745</v>
      </c>
      <c r="C10" s="518">
        <v>122381</v>
      </c>
      <c r="D10" s="518">
        <v>212326</v>
      </c>
      <c r="E10" s="518">
        <v>968</v>
      </c>
      <c r="F10" s="518">
        <v>991</v>
      </c>
      <c r="G10" s="518">
        <v>0</v>
      </c>
      <c r="H10" s="518">
        <v>5692</v>
      </c>
      <c r="I10" s="518"/>
      <c r="J10" s="518">
        <v>0</v>
      </c>
      <c r="K10" s="518">
        <v>3718</v>
      </c>
      <c r="L10" s="519">
        <f t="shared" si="0"/>
        <v>806821</v>
      </c>
    </row>
    <row r="11" spans="1:12" ht="19.5" customHeight="1">
      <c r="A11" s="525" t="s">
        <v>36</v>
      </c>
      <c r="B11" s="526">
        <v>21912</v>
      </c>
      <c r="C11" s="526">
        <v>5921</v>
      </c>
      <c r="D11" s="526">
        <v>9170</v>
      </c>
      <c r="E11" s="526">
        <v>0</v>
      </c>
      <c r="F11" s="526">
        <v>1726</v>
      </c>
      <c r="G11" s="526">
        <v>0</v>
      </c>
      <c r="H11" s="526">
        <v>0</v>
      </c>
      <c r="I11" s="526"/>
      <c r="J11" s="526">
        <v>0</v>
      </c>
      <c r="K11" s="526">
        <v>-399</v>
      </c>
      <c r="L11" s="527">
        <f t="shared" si="0"/>
        <v>38330</v>
      </c>
    </row>
    <row r="12" spans="1:12" ht="19.5" customHeight="1">
      <c r="A12" s="453" t="s">
        <v>361</v>
      </c>
      <c r="B12" s="168">
        <v>26465</v>
      </c>
      <c r="C12" s="168">
        <v>6854</v>
      </c>
      <c r="D12" s="168">
        <v>76091</v>
      </c>
      <c r="E12" s="168">
        <v>0</v>
      </c>
      <c r="F12" s="168">
        <v>0</v>
      </c>
      <c r="G12" s="168">
        <v>0</v>
      </c>
      <c r="H12" s="168">
        <v>0</v>
      </c>
      <c r="I12" s="168"/>
      <c r="J12" s="168">
        <v>0</v>
      </c>
      <c r="K12" s="168">
        <v>908</v>
      </c>
      <c r="L12" s="454">
        <f t="shared" si="0"/>
        <v>110318</v>
      </c>
    </row>
    <row r="13" spans="1:12" ht="19.5" customHeight="1">
      <c r="A13" s="517" t="s">
        <v>362</v>
      </c>
      <c r="B13" s="518">
        <v>138739</v>
      </c>
      <c r="C13" s="518">
        <v>35136</v>
      </c>
      <c r="D13" s="518">
        <v>20449</v>
      </c>
      <c r="E13" s="518">
        <v>0</v>
      </c>
      <c r="F13" s="518">
        <v>0</v>
      </c>
      <c r="G13" s="518">
        <v>0</v>
      </c>
      <c r="H13" s="518">
        <v>17909</v>
      </c>
      <c r="I13" s="518"/>
      <c r="J13" s="518">
        <v>0</v>
      </c>
      <c r="K13" s="518">
        <v>0</v>
      </c>
      <c r="L13" s="519">
        <f t="shared" si="0"/>
        <v>212233</v>
      </c>
    </row>
    <row r="14" spans="1:12" ht="19.5" customHeight="1">
      <c r="A14" s="513" t="s">
        <v>43</v>
      </c>
      <c r="B14" s="514">
        <v>0</v>
      </c>
      <c r="C14" s="514">
        <v>0</v>
      </c>
      <c r="D14" s="514">
        <v>1971</v>
      </c>
      <c r="E14" s="514">
        <v>0</v>
      </c>
      <c r="F14" s="514">
        <v>0</v>
      </c>
      <c r="G14" s="514">
        <v>0</v>
      </c>
      <c r="H14" s="514">
        <v>0</v>
      </c>
      <c r="I14" s="514"/>
      <c r="J14" s="514">
        <v>0</v>
      </c>
      <c r="K14" s="515">
        <v>0</v>
      </c>
      <c r="L14" s="516">
        <f t="shared" si="0"/>
        <v>1971</v>
      </c>
    </row>
    <row r="15" spans="1:12" ht="19.5" customHeight="1">
      <c r="A15" s="310" t="s">
        <v>78</v>
      </c>
      <c r="B15" s="165">
        <f>SUM(B7:B13)</f>
        <v>1239732</v>
      </c>
      <c r="C15" s="165">
        <f aca="true" t="shared" si="1" ref="C15:L15">SUM(C7:C14)</f>
        <v>328279</v>
      </c>
      <c r="D15" s="165">
        <f t="shared" si="1"/>
        <v>525281</v>
      </c>
      <c r="E15" s="165">
        <f t="shared" si="1"/>
        <v>46613</v>
      </c>
      <c r="F15" s="165">
        <f t="shared" si="1"/>
        <v>2717</v>
      </c>
      <c r="G15" s="165">
        <f t="shared" si="1"/>
        <v>0</v>
      </c>
      <c r="H15" s="165">
        <f t="shared" si="1"/>
        <v>29428</v>
      </c>
      <c r="I15" s="165">
        <f t="shared" si="1"/>
        <v>0</v>
      </c>
      <c r="J15" s="165">
        <f t="shared" si="1"/>
        <v>584</v>
      </c>
      <c r="K15" s="165">
        <f t="shared" si="1"/>
        <v>11503</v>
      </c>
      <c r="L15" s="455">
        <f t="shared" si="1"/>
        <v>2184137</v>
      </c>
    </row>
    <row r="16" spans="1:12" ht="19.5" customHeight="1">
      <c r="A16" s="309" t="s">
        <v>45</v>
      </c>
      <c r="B16" s="164">
        <v>1336027</v>
      </c>
      <c r="C16" s="164">
        <v>354968</v>
      </c>
      <c r="D16" s="164">
        <v>914968</v>
      </c>
      <c r="E16" s="164">
        <v>0</v>
      </c>
      <c r="F16" s="164">
        <v>0</v>
      </c>
      <c r="G16" s="164">
        <v>0</v>
      </c>
      <c r="H16" s="164">
        <v>25739</v>
      </c>
      <c r="I16" s="164"/>
      <c r="J16" s="164">
        <v>0</v>
      </c>
      <c r="K16" s="157">
        <v>-76933</v>
      </c>
      <c r="L16" s="456">
        <f aca="true" t="shared" si="2" ref="L16:L21">SUM(B16:K16)</f>
        <v>2554769</v>
      </c>
    </row>
    <row r="17" spans="1:12" ht="19.5" customHeight="1">
      <c r="A17" s="309" t="s">
        <v>363</v>
      </c>
      <c r="B17" s="164">
        <v>41932</v>
      </c>
      <c r="C17" s="164">
        <v>10505</v>
      </c>
      <c r="D17" s="164">
        <v>42816</v>
      </c>
      <c r="E17" s="164">
        <v>0</v>
      </c>
      <c r="F17" s="164">
        <v>0</v>
      </c>
      <c r="G17" s="164">
        <v>0</v>
      </c>
      <c r="H17" s="164">
        <v>203</v>
      </c>
      <c r="I17" s="164"/>
      <c r="J17" s="164">
        <v>0</v>
      </c>
      <c r="K17" s="157">
        <v>1794</v>
      </c>
      <c r="L17" s="456">
        <f t="shared" si="2"/>
        <v>97250</v>
      </c>
    </row>
    <row r="18" spans="1:12" ht="19.5" customHeight="1">
      <c r="A18" s="310" t="s">
        <v>78</v>
      </c>
      <c r="B18" s="165">
        <f aca="true" t="shared" si="3" ref="B18:K18">SUM(B16:B17)</f>
        <v>1377959</v>
      </c>
      <c r="C18" s="165">
        <f t="shared" si="3"/>
        <v>365473</v>
      </c>
      <c r="D18" s="165">
        <f t="shared" si="3"/>
        <v>957784</v>
      </c>
      <c r="E18" s="165">
        <f t="shared" si="3"/>
        <v>0</v>
      </c>
      <c r="F18" s="165">
        <f t="shared" si="3"/>
        <v>0</v>
      </c>
      <c r="G18" s="165">
        <f t="shared" si="3"/>
        <v>0</v>
      </c>
      <c r="H18" s="165">
        <f t="shared" si="3"/>
        <v>25942</v>
      </c>
      <c r="I18" s="165">
        <f t="shared" si="3"/>
        <v>0</v>
      </c>
      <c r="J18" s="165">
        <f t="shared" si="3"/>
        <v>0</v>
      </c>
      <c r="K18" s="165">
        <f t="shared" si="3"/>
        <v>-75139</v>
      </c>
      <c r="L18" s="455">
        <f t="shared" si="2"/>
        <v>2652019</v>
      </c>
    </row>
    <row r="19" spans="1:12" ht="19.5" customHeight="1">
      <c r="A19" s="308" t="s">
        <v>49</v>
      </c>
      <c r="B19" s="164">
        <v>348580</v>
      </c>
      <c r="C19" s="164">
        <v>74407</v>
      </c>
      <c r="D19" s="164">
        <v>288006</v>
      </c>
      <c r="E19" s="164">
        <v>0</v>
      </c>
      <c r="F19" s="164">
        <f>2210198-1950224</f>
        <v>259974</v>
      </c>
      <c r="G19" s="164">
        <v>1800</v>
      </c>
      <c r="H19" s="164">
        <v>664687</v>
      </c>
      <c r="I19" s="164">
        <v>1950224</v>
      </c>
      <c r="J19" s="164">
        <v>2135264</v>
      </c>
      <c r="K19" s="157">
        <v>113278</v>
      </c>
      <c r="L19" s="456">
        <f t="shared" si="2"/>
        <v>5836220</v>
      </c>
    </row>
    <row r="20" spans="1:12" ht="19.5" customHeight="1">
      <c r="A20" s="310" t="s">
        <v>78</v>
      </c>
      <c r="B20" s="165">
        <f aca="true" t="shared" si="4" ref="B20:K20">B15+B18+B19</f>
        <v>2966271</v>
      </c>
      <c r="C20" s="165">
        <f t="shared" si="4"/>
        <v>768159</v>
      </c>
      <c r="D20" s="165">
        <f t="shared" si="4"/>
        <v>1771071</v>
      </c>
      <c r="E20" s="165">
        <f t="shared" si="4"/>
        <v>46613</v>
      </c>
      <c r="F20" s="165">
        <f t="shared" si="4"/>
        <v>262691</v>
      </c>
      <c r="G20" s="165">
        <f t="shared" si="4"/>
        <v>1800</v>
      </c>
      <c r="H20" s="165">
        <f t="shared" si="4"/>
        <v>720057</v>
      </c>
      <c r="I20" s="165">
        <f t="shared" si="4"/>
        <v>1950224</v>
      </c>
      <c r="J20" s="165">
        <f t="shared" si="4"/>
        <v>2135848</v>
      </c>
      <c r="K20" s="165">
        <f t="shared" si="4"/>
        <v>49642</v>
      </c>
      <c r="L20" s="455">
        <f t="shared" si="2"/>
        <v>10672376</v>
      </c>
    </row>
    <row r="21" spans="1:12" ht="19.5" customHeight="1" thickBot="1">
      <c r="A21" s="453" t="s">
        <v>328</v>
      </c>
      <c r="B21" s="167">
        <v>68</v>
      </c>
      <c r="C21" s="167">
        <v>18</v>
      </c>
      <c r="D21" s="167">
        <v>1922</v>
      </c>
      <c r="E21" s="167"/>
      <c r="F21" s="167"/>
      <c r="G21" s="167"/>
      <c r="H21" s="167">
        <v>200</v>
      </c>
      <c r="I21" s="167"/>
      <c r="J21" s="167"/>
      <c r="K21" s="168"/>
      <c r="L21" s="454">
        <f t="shared" si="2"/>
        <v>2208</v>
      </c>
    </row>
    <row r="22" spans="1:12" ht="24.75" customHeight="1" thickBot="1">
      <c r="A22" s="447" t="s">
        <v>329</v>
      </c>
      <c r="B22" s="448">
        <f aca="true" t="shared" si="5" ref="B22:L22">B15+B18+B19+B21</f>
        <v>2966339</v>
      </c>
      <c r="C22" s="448">
        <f t="shared" si="5"/>
        <v>768177</v>
      </c>
      <c r="D22" s="448">
        <f t="shared" si="5"/>
        <v>1772993</v>
      </c>
      <c r="E22" s="448">
        <f t="shared" si="5"/>
        <v>46613</v>
      </c>
      <c r="F22" s="448">
        <f t="shared" si="5"/>
        <v>262691</v>
      </c>
      <c r="G22" s="448">
        <f t="shared" si="5"/>
        <v>1800</v>
      </c>
      <c r="H22" s="448">
        <f t="shared" si="5"/>
        <v>720257</v>
      </c>
      <c r="I22" s="448">
        <f t="shared" si="5"/>
        <v>1950224</v>
      </c>
      <c r="J22" s="448">
        <f t="shared" si="5"/>
        <v>2135848</v>
      </c>
      <c r="K22" s="448">
        <f t="shared" si="5"/>
        <v>49642</v>
      </c>
      <c r="L22" s="449">
        <f t="shared" si="5"/>
        <v>10674584</v>
      </c>
    </row>
    <row r="23" spans="1:12" ht="15.75">
      <c r="A23" s="305"/>
      <c r="B23" s="445"/>
      <c r="C23" s="445"/>
      <c r="D23" s="445"/>
      <c r="E23" s="445"/>
      <c r="F23" s="306"/>
      <c r="G23" s="306"/>
      <c r="H23" s="445"/>
      <c r="I23" s="306"/>
      <c r="J23" s="445"/>
      <c r="K23" s="306"/>
      <c r="L23" s="446">
        <v>-1950224</v>
      </c>
    </row>
    <row r="24" ht="12.75">
      <c r="L24" s="271">
        <f>SUM(L22:L23)</f>
        <v>8724360</v>
      </c>
    </row>
  </sheetData>
  <sheetProtection selectLockedCells="1" selectUnlockedCells="1"/>
  <mergeCells count="1">
    <mergeCell ref="K5:L5"/>
  </mergeCells>
  <printOptions horizontalCentered="1"/>
  <pageMargins left="0.5118055555555555" right="0.5118055555555555" top="0.9840277777777777" bottom="0.39375" header="0.5118055555555555" footer="0.5118055555555555"/>
  <pageSetup horizontalDpi="300" verticalDpi="300" orientation="landscape" paperSize="9" r:id="rId1"/>
  <headerFooter alignWithMargins="0">
    <oddHeader>&amp;L&amp;9 8. melléklet a .../...(....) önkormányzati határozathoz&amp;C&amp;"Arial CE,Félkövér"&amp;11
Önállóan működő és gazdálkodó költségvetési szervek 2011. III. negyedévi kiadásai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9.R.önálló int"/>
  <dimension ref="A6:H29"/>
  <sheetViews>
    <sheetView workbookViewId="0" topLeftCell="A1">
      <selection activeCell="K18" sqref="K18"/>
    </sheetView>
  </sheetViews>
  <sheetFormatPr defaultColWidth="9.00390625" defaultRowHeight="12.75"/>
  <cols>
    <col min="1" max="1" width="29.625" style="169" customWidth="1"/>
    <col min="2" max="2" width="9.875" style="169" customWidth="1"/>
    <col min="3" max="3" width="11.00390625" style="169" customWidth="1"/>
    <col min="4" max="4" width="11.25390625" style="169" customWidth="1"/>
    <col min="5" max="5" width="9.25390625" style="169" customWidth="1"/>
    <col min="6" max="6" width="9.625" style="169" customWidth="1"/>
    <col min="7" max="7" width="10.125" style="169" customWidth="1"/>
    <col min="8" max="8" width="10.625" style="169" customWidth="1"/>
    <col min="9" max="16384" width="9.125" style="169" customWidth="1"/>
  </cols>
  <sheetData>
    <row r="6" spans="5:7" ht="12.75">
      <c r="E6" s="540"/>
      <c r="F6" s="540"/>
      <c r="G6" s="540"/>
    </row>
    <row r="7" spans="7:8" ht="13.5" thickBot="1">
      <c r="G7" s="539" t="s">
        <v>90</v>
      </c>
      <c r="H7" s="539"/>
    </row>
    <row r="8" spans="1:8" ht="39" customHeight="1" thickBot="1">
      <c r="A8" s="170" t="s">
        <v>364</v>
      </c>
      <c r="B8" s="171" t="s">
        <v>365</v>
      </c>
      <c r="C8" s="171" t="s">
        <v>366</v>
      </c>
      <c r="D8" s="171" t="s">
        <v>367</v>
      </c>
      <c r="E8" s="171" t="s">
        <v>368</v>
      </c>
      <c r="F8" s="171" t="s">
        <v>369</v>
      </c>
      <c r="G8" s="317" t="s">
        <v>345</v>
      </c>
      <c r="H8" s="398" t="s">
        <v>78</v>
      </c>
    </row>
    <row r="9" spans="1:8" ht="15" customHeight="1">
      <c r="A9" s="172" t="s">
        <v>370</v>
      </c>
      <c r="B9" s="344">
        <v>1284</v>
      </c>
      <c r="C9" s="344">
        <v>167780</v>
      </c>
      <c r="D9" s="344"/>
      <c r="E9" s="345"/>
      <c r="F9" s="346"/>
      <c r="G9" s="395"/>
      <c r="H9" s="520">
        <f aca="true" t="shared" si="0" ref="H9:H16">SUM(B9:G9)</f>
        <v>169064</v>
      </c>
    </row>
    <row r="10" spans="1:8" ht="15" customHeight="1">
      <c r="A10" s="173" t="s">
        <v>16</v>
      </c>
      <c r="B10" s="344">
        <v>2277</v>
      </c>
      <c r="C10" s="344">
        <v>87834</v>
      </c>
      <c r="D10" s="344"/>
      <c r="E10" s="347"/>
      <c r="F10" s="348"/>
      <c r="G10" s="395">
        <v>50</v>
      </c>
      <c r="H10" s="521">
        <f t="shared" si="0"/>
        <v>90161</v>
      </c>
    </row>
    <row r="11" spans="1:8" ht="15" customHeight="1">
      <c r="A11" s="173" t="s">
        <v>19</v>
      </c>
      <c r="B11" s="344">
        <v>368</v>
      </c>
      <c r="C11" s="344">
        <v>47412</v>
      </c>
      <c r="D11" s="344"/>
      <c r="E11" s="347"/>
      <c r="F11" s="348"/>
      <c r="G11" s="395">
        <v>1233</v>
      </c>
      <c r="H11" s="521">
        <f t="shared" si="0"/>
        <v>49013</v>
      </c>
    </row>
    <row r="12" spans="1:8" ht="15" customHeight="1">
      <c r="A12" s="173" t="s">
        <v>371</v>
      </c>
      <c r="B12" s="344">
        <v>2202</v>
      </c>
      <c r="C12" s="344">
        <v>38627</v>
      </c>
      <c r="D12" s="344">
        <v>108</v>
      </c>
      <c r="E12" s="347"/>
      <c r="F12" s="348"/>
      <c r="G12" s="395"/>
      <c r="H12" s="521">
        <f t="shared" si="0"/>
        <v>40937</v>
      </c>
    </row>
    <row r="13" spans="1:8" ht="15" customHeight="1">
      <c r="A13" s="173" t="s">
        <v>372</v>
      </c>
      <c r="B13" s="344">
        <v>80</v>
      </c>
      <c r="C13" s="344">
        <v>39152</v>
      </c>
      <c r="D13" s="344">
        <v>2910</v>
      </c>
      <c r="E13" s="347"/>
      <c r="F13" s="348"/>
      <c r="G13" s="395"/>
      <c r="H13" s="521">
        <f t="shared" si="0"/>
        <v>42142</v>
      </c>
    </row>
    <row r="14" spans="1:8" ht="15" customHeight="1">
      <c r="A14" s="173" t="s">
        <v>28</v>
      </c>
      <c r="B14" s="344">
        <v>2123</v>
      </c>
      <c r="C14" s="344">
        <v>30146</v>
      </c>
      <c r="D14" s="344"/>
      <c r="E14" s="347"/>
      <c r="F14" s="348"/>
      <c r="G14" s="395"/>
      <c r="H14" s="521">
        <f t="shared" si="0"/>
        <v>32269</v>
      </c>
    </row>
    <row r="15" spans="1:8" ht="15" customHeight="1">
      <c r="A15" s="173" t="s">
        <v>373</v>
      </c>
      <c r="B15" s="344">
        <v>24478</v>
      </c>
      <c r="C15" s="344">
        <v>125594</v>
      </c>
      <c r="D15" s="344">
        <v>865</v>
      </c>
      <c r="E15" s="347"/>
      <c r="F15" s="348"/>
      <c r="G15" s="395">
        <v>96</v>
      </c>
      <c r="H15" s="521">
        <f t="shared" si="0"/>
        <v>151033</v>
      </c>
    </row>
    <row r="16" spans="1:8" ht="15" customHeight="1" thickBot="1">
      <c r="A16" s="174" t="s">
        <v>374</v>
      </c>
      <c r="B16" s="349">
        <v>28897</v>
      </c>
      <c r="C16" s="344">
        <v>205287</v>
      </c>
      <c r="D16" s="349"/>
      <c r="E16" s="350"/>
      <c r="F16" s="351"/>
      <c r="G16" s="396">
        <v>80</v>
      </c>
      <c r="H16" s="522">
        <f t="shared" si="0"/>
        <v>234264</v>
      </c>
    </row>
    <row r="17" spans="1:8" ht="15" customHeight="1" thickBot="1">
      <c r="A17" s="175" t="s">
        <v>78</v>
      </c>
      <c r="B17" s="176">
        <f aca="true" t="shared" si="1" ref="B17:H17">SUM(B9:B16)</f>
        <v>61709</v>
      </c>
      <c r="C17" s="176">
        <f t="shared" si="1"/>
        <v>741832</v>
      </c>
      <c r="D17" s="176">
        <f t="shared" si="1"/>
        <v>3883</v>
      </c>
      <c r="E17" s="176">
        <f t="shared" si="1"/>
        <v>0</v>
      </c>
      <c r="F17" s="176">
        <f t="shared" si="1"/>
        <v>0</v>
      </c>
      <c r="G17" s="318">
        <f t="shared" si="1"/>
        <v>1459</v>
      </c>
      <c r="H17" s="523">
        <f t="shared" si="1"/>
        <v>808883</v>
      </c>
    </row>
    <row r="18" ht="15" customHeight="1"/>
    <row r="19" ht="15" customHeight="1" thickBot="1"/>
    <row r="20" spans="1:8" ht="39" customHeight="1" thickBot="1">
      <c r="A20" s="177" t="s">
        <v>364</v>
      </c>
      <c r="B20" s="178" t="s">
        <v>375</v>
      </c>
      <c r="C20" s="178" t="s">
        <v>376</v>
      </c>
      <c r="D20" s="178" t="s">
        <v>377</v>
      </c>
      <c r="E20" s="178" t="s">
        <v>378</v>
      </c>
      <c r="F20" s="178" t="s">
        <v>379</v>
      </c>
      <c r="G20" s="171" t="s">
        <v>356</v>
      </c>
      <c r="H20" s="397" t="s">
        <v>78</v>
      </c>
    </row>
    <row r="21" spans="1:8" ht="15.75" customHeight="1">
      <c r="A21" s="172" t="s">
        <v>370</v>
      </c>
      <c r="B21" s="344">
        <v>121414</v>
      </c>
      <c r="C21" s="344">
        <v>32881</v>
      </c>
      <c r="D21" s="344">
        <v>13517</v>
      </c>
      <c r="E21" s="352"/>
      <c r="F21" s="352"/>
      <c r="G21" s="395">
        <v>1252</v>
      </c>
      <c r="H21" s="520">
        <f aca="true" t="shared" si="2" ref="H21:H28">SUM(B21:G21)</f>
        <v>169064</v>
      </c>
    </row>
    <row r="22" spans="1:8" ht="12.75">
      <c r="A22" s="173" t="s">
        <v>16</v>
      </c>
      <c r="B22" s="344">
        <v>65420</v>
      </c>
      <c r="C22" s="344">
        <v>17760</v>
      </c>
      <c r="D22" s="344">
        <v>5053</v>
      </c>
      <c r="E22" s="352">
        <v>991</v>
      </c>
      <c r="F22" s="352"/>
      <c r="G22" s="395">
        <v>937</v>
      </c>
      <c r="H22" s="521">
        <f t="shared" si="2"/>
        <v>90161</v>
      </c>
    </row>
    <row r="23" spans="1:8" ht="12.75">
      <c r="A23" s="173" t="s">
        <v>19</v>
      </c>
      <c r="B23" s="344">
        <v>34852</v>
      </c>
      <c r="C23" s="344">
        <v>9359</v>
      </c>
      <c r="D23" s="344">
        <v>2822</v>
      </c>
      <c r="E23" s="352">
        <v>508</v>
      </c>
      <c r="F23" s="352"/>
      <c r="G23" s="395">
        <v>1472</v>
      </c>
      <c r="H23" s="521">
        <f t="shared" si="2"/>
        <v>49013</v>
      </c>
    </row>
    <row r="24" spans="1:8" ht="15" customHeight="1">
      <c r="A24" s="173" t="s">
        <v>371</v>
      </c>
      <c r="B24" s="344">
        <v>30021</v>
      </c>
      <c r="C24" s="344">
        <v>7882</v>
      </c>
      <c r="D24" s="344">
        <v>2591</v>
      </c>
      <c r="E24" s="352"/>
      <c r="F24" s="352">
        <v>447</v>
      </c>
      <c r="G24" s="395">
        <v>-4</v>
      </c>
      <c r="H24" s="521">
        <f t="shared" si="2"/>
        <v>40937</v>
      </c>
    </row>
    <row r="25" spans="1:8" ht="15" customHeight="1">
      <c r="A25" s="173" t="s">
        <v>372</v>
      </c>
      <c r="B25" s="344">
        <v>19628</v>
      </c>
      <c r="C25" s="344">
        <v>5104</v>
      </c>
      <c r="D25" s="344">
        <v>14925</v>
      </c>
      <c r="E25" s="352"/>
      <c r="F25" s="352">
        <v>2120</v>
      </c>
      <c r="G25" s="395">
        <v>65</v>
      </c>
      <c r="H25" s="521">
        <f t="shared" si="2"/>
        <v>41842</v>
      </c>
    </row>
    <row r="26" spans="1:8" ht="15" customHeight="1">
      <c r="A26" s="173" t="s">
        <v>28</v>
      </c>
      <c r="B26" s="344">
        <v>17736</v>
      </c>
      <c r="C26" s="344">
        <v>4561</v>
      </c>
      <c r="D26" s="344">
        <v>9940</v>
      </c>
      <c r="E26" s="352"/>
      <c r="F26" s="352"/>
      <c r="G26" s="395">
        <v>32</v>
      </c>
      <c r="H26" s="521">
        <f t="shared" si="2"/>
        <v>32269</v>
      </c>
    </row>
    <row r="27" spans="1:8" ht="15" customHeight="1">
      <c r="A27" s="173" t="s">
        <v>31</v>
      </c>
      <c r="B27" s="344">
        <v>99123</v>
      </c>
      <c r="C27" s="344">
        <v>25439</v>
      </c>
      <c r="D27" s="344">
        <v>24359</v>
      </c>
      <c r="E27" s="352">
        <v>460</v>
      </c>
      <c r="F27" s="352">
        <v>140</v>
      </c>
      <c r="G27" s="395">
        <v>512</v>
      </c>
      <c r="H27" s="521">
        <f t="shared" si="2"/>
        <v>150033</v>
      </c>
    </row>
    <row r="28" spans="1:8" ht="15" customHeight="1" thickBot="1">
      <c r="A28" s="174" t="s">
        <v>374</v>
      </c>
      <c r="B28" s="349">
        <v>72551</v>
      </c>
      <c r="C28" s="349">
        <v>19395</v>
      </c>
      <c r="D28" s="349">
        <v>139120</v>
      </c>
      <c r="E28" s="353"/>
      <c r="F28" s="353">
        <v>2985</v>
      </c>
      <c r="G28" s="396">
        <v>-548</v>
      </c>
      <c r="H28" s="524">
        <f t="shared" si="2"/>
        <v>233503</v>
      </c>
    </row>
    <row r="29" spans="1:8" ht="15" customHeight="1" thickBot="1">
      <c r="A29" s="179" t="s">
        <v>78</v>
      </c>
      <c r="B29" s="176">
        <f aca="true" t="shared" si="3" ref="B29:H29">SUM(B21:B28)</f>
        <v>460745</v>
      </c>
      <c r="C29" s="176">
        <f t="shared" si="3"/>
        <v>122381</v>
      </c>
      <c r="D29" s="176">
        <f t="shared" si="3"/>
        <v>212327</v>
      </c>
      <c r="E29" s="176">
        <f t="shared" si="3"/>
        <v>1959</v>
      </c>
      <c r="F29" s="176">
        <f t="shared" si="3"/>
        <v>5692</v>
      </c>
      <c r="G29" s="318">
        <f t="shared" si="3"/>
        <v>3718</v>
      </c>
      <c r="H29" s="523">
        <f t="shared" si="3"/>
        <v>806822</v>
      </c>
    </row>
    <row r="33" ht="15" customHeight="1"/>
  </sheetData>
  <sheetProtection selectLockedCells="1" selectUnlockedCells="1"/>
  <mergeCells count="2">
    <mergeCell ref="E6:G6"/>
    <mergeCell ref="G7:H7"/>
  </mergeCells>
  <printOptions/>
  <pageMargins left="0.5902777777777778" right="0.19652777777777777" top="0.9840277777777778" bottom="0.5902777777777778" header="0.7083333333333334" footer="0.5118055555555555"/>
  <pageSetup horizontalDpi="300" verticalDpi="300" orientation="portrait" paperSize="9" scale="90" r:id="rId1"/>
  <headerFooter alignWithMargins="0">
    <oddHeader>&amp;L&amp;9 9. melléklet a .../...(....) önkormányzati határozathoz&amp;C&amp;"Arial,Félkövér"&amp;11
A Kisvárdai Szolgáltató Szervezethez tartozó önállóan működő intézmények 2010. évi kiemelt bevételi és kiadási előirányzatainak teljesítése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2011-11-24T09:24:48Z</cp:lastPrinted>
  <dcterms:created xsi:type="dcterms:W3CDTF">2010-10-21T07:42:49Z</dcterms:created>
  <dcterms:modified xsi:type="dcterms:W3CDTF">2011-11-24T09:29:05Z</dcterms:modified>
  <cp:category/>
  <cp:version/>
  <cp:contentType/>
  <cp:contentStatus/>
  <cp:revision>8</cp:revision>
</cp:coreProperties>
</file>