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/>
  <mc:AlternateContent xmlns:mc="http://schemas.openxmlformats.org/markup-compatibility/2006">
    <mc:Choice Requires="x15">
      <x15ac:absPath xmlns:x15ac="http://schemas.microsoft.com/office/spreadsheetml/2010/11/ac" url="/Users/uszk/Dropbox/AGILITAS/Közbeszerzések/Kisvárda Város Önkormányzata/Hidak kivitelezése/Kisvarda_Fahidak_NR/"/>
    </mc:Choice>
  </mc:AlternateContent>
  <xr:revisionPtr revIDLastSave="0" documentId="13_ncr:1_{EBC77E6C-7125-3B4F-A99E-0AD11A8A229D}" xr6:coauthVersionLast="28" xr6:coauthVersionMax="28" xr10:uidLastSave="{00000000-0000-0000-0000-000000000000}"/>
  <bookViews>
    <workbookView xWindow="0" yWindow="0" windowWidth="28800" windowHeight="18000" xr2:uid="{00000000-000D-0000-FFFF-FFFF00000000}"/>
  </bookViews>
  <sheets>
    <sheet name="Munka1" sheetId="1" r:id="rId1"/>
    <sheet name="Anyagkimutatás" sheetId="2" r:id="rId2"/>
    <sheet name="Költségvetés 1 (2)" sheetId="6" r:id="rId3"/>
    <sheet name="Költségvetés 2 (2)" sheetId="7" r:id="rId4"/>
    <sheet name="Költségvetés 3 (2)" sheetId="8" r:id="rId5"/>
  </sheets>
  <definedNames>
    <definedName name="_xlnm.Print_Area" localSheetId="1">Anyagkimutatás!$A$4:$AC$93</definedName>
    <definedName name="_xlnm.Print_Area" localSheetId="2">'Költségvetés 1 (2)'!$A$1:$H$36</definedName>
    <definedName name="_xlnm.Print_Area" localSheetId="3">'Költségvetés 2 (2)'!$A$1:$H$36</definedName>
    <definedName name="_xlnm.Print_Area" localSheetId="4">'Költségvetés 3 (2)'!$A$1:$H$36</definedName>
    <definedName name="_xlnm.Print_Area" localSheetId="0">Munka1!$A$2:$AO$94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8" l="1"/>
  <c r="D20" i="7"/>
  <c r="D20" i="6"/>
  <c r="F14" i="2"/>
  <c r="F15" i="2"/>
  <c r="D2" i="2"/>
  <c r="D72" i="2" l="1"/>
  <c r="C72" i="2"/>
  <c r="F71" i="2"/>
  <c r="E71" i="2"/>
  <c r="E72" i="2" s="1"/>
  <c r="G72" i="2" s="1"/>
  <c r="H72" i="2" s="1"/>
  <c r="D71" i="2"/>
  <c r="C48" i="2"/>
  <c r="D48" i="2" s="1"/>
  <c r="F47" i="2"/>
  <c r="G47" i="2" s="1"/>
  <c r="H47" i="2" s="1"/>
  <c r="E47" i="2"/>
  <c r="E48" i="2" s="1"/>
  <c r="G48" i="2" s="1"/>
  <c r="D47" i="2"/>
  <c r="C24" i="2"/>
  <c r="D24" i="2" s="1"/>
  <c r="F23" i="2"/>
  <c r="G23" i="2" s="1"/>
  <c r="H23" i="2" s="1"/>
  <c r="E23" i="2"/>
  <c r="E24" i="2" s="1"/>
  <c r="G24" i="2" s="1"/>
  <c r="D23" i="2"/>
  <c r="M73" i="1"/>
  <c r="L73" i="1"/>
  <c r="R73" i="1" s="1"/>
  <c r="O72" i="1"/>
  <c r="P72" i="1" s="1"/>
  <c r="N72" i="1"/>
  <c r="N73" i="1" s="1"/>
  <c r="P73" i="1" s="1"/>
  <c r="M72" i="1"/>
  <c r="D73" i="1"/>
  <c r="C73" i="1"/>
  <c r="F72" i="1"/>
  <c r="G72" i="1" s="1"/>
  <c r="H72" i="1" s="1"/>
  <c r="E72" i="1"/>
  <c r="E73" i="1" s="1"/>
  <c r="G73" i="1" s="1"/>
  <c r="H73" i="1" s="1"/>
  <c r="D72" i="1"/>
  <c r="L23" i="1"/>
  <c r="R23" i="1" s="1"/>
  <c r="O22" i="1"/>
  <c r="P22" i="1" s="1"/>
  <c r="Q22" i="1" s="1"/>
  <c r="N22" i="1"/>
  <c r="N23" i="1" s="1"/>
  <c r="P23" i="1" s="1"/>
  <c r="M22" i="1"/>
  <c r="D23" i="1"/>
  <c r="C23" i="1"/>
  <c r="F22" i="1"/>
  <c r="G22" i="1" s="1"/>
  <c r="E22" i="1"/>
  <c r="E23" i="1" s="1"/>
  <c r="G23" i="1" s="1"/>
  <c r="D22" i="1"/>
  <c r="M48" i="1"/>
  <c r="L48" i="1"/>
  <c r="R48" i="1" s="1"/>
  <c r="O47" i="1"/>
  <c r="N47" i="1"/>
  <c r="N48" i="1" s="1"/>
  <c r="P48" i="1" s="1"/>
  <c r="Q48" i="1" s="1"/>
  <c r="M47" i="1"/>
  <c r="C48" i="1"/>
  <c r="F47" i="1"/>
  <c r="E47" i="1"/>
  <c r="E48" i="1" s="1"/>
  <c r="G48" i="1" s="1"/>
  <c r="H48" i="1" s="1"/>
  <c r="D47" i="1"/>
  <c r="D48" i="1"/>
  <c r="D1" i="2"/>
  <c r="D17" i="7" l="1"/>
  <c r="D17" i="8"/>
  <c r="P47" i="1"/>
  <c r="H23" i="1"/>
  <c r="M23" i="1"/>
  <c r="Q73" i="1"/>
  <c r="G71" i="2"/>
  <c r="H71" i="2" s="1"/>
  <c r="D16" i="8"/>
  <c r="H22" i="1"/>
  <c r="Q23" i="1"/>
  <c r="Q72" i="1"/>
  <c r="H24" i="2"/>
  <c r="R72" i="1"/>
  <c r="G47" i="1"/>
  <c r="H47" i="1" s="1"/>
  <c r="H48" i="2"/>
  <c r="R22" i="1"/>
  <c r="K91" i="2"/>
  <c r="F91" i="2" s="1"/>
  <c r="G91" i="2" s="1"/>
  <c r="H91" i="2" s="1"/>
  <c r="D91" i="2"/>
  <c r="K90" i="2"/>
  <c r="F90" i="2" s="1"/>
  <c r="G90" i="2" s="1"/>
  <c r="D90" i="2"/>
  <c r="K89" i="2"/>
  <c r="F89" i="2" s="1"/>
  <c r="G89" i="2" s="1"/>
  <c r="H89" i="2" s="1"/>
  <c r="D89" i="2"/>
  <c r="K87" i="2"/>
  <c r="F87" i="2" s="1"/>
  <c r="G87" i="2" s="1"/>
  <c r="D87" i="2"/>
  <c r="K86" i="2"/>
  <c r="F86" i="2" s="1"/>
  <c r="G86" i="2" s="1"/>
  <c r="D86" i="2"/>
  <c r="K85" i="2"/>
  <c r="F85" i="2" s="1"/>
  <c r="G85" i="2" s="1"/>
  <c r="H85" i="2" s="1"/>
  <c r="D85" i="2"/>
  <c r="K84" i="2"/>
  <c r="F84" i="2" s="1"/>
  <c r="G84" i="2" s="1"/>
  <c r="D84" i="2"/>
  <c r="K83" i="2"/>
  <c r="F83" i="2" s="1"/>
  <c r="G83" i="2" s="1"/>
  <c r="D83" i="2"/>
  <c r="K82" i="2"/>
  <c r="F82" i="2"/>
  <c r="G82" i="2" s="1"/>
  <c r="H82" i="2" s="1"/>
  <c r="D82" i="2"/>
  <c r="K81" i="2"/>
  <c r="F81" i="2" s="1"/>
  <c r="G81" i="2" s="1"/>
  <c r="H81" i="2" s="1"/>
  <c r="D81" i="2"/>
  <c r="K80" i="2"/>
  <c r="F80" i="2" s="1"/>
  <c r="G80" i="2" s="1"/>
  <c r="H80" i="2" s="1"/>
  <c r="D80" i="2"/>
  <c r="G70" i="2"/>
  <c r="F70" i="2"/>
  <c r="D70" i="2"/>
  <c r="G68" i="2"/>
  <c r="G67" i="2"/>
  <c r="G69" i="2" s="1"/>
  <c r="F67" i="2"/>
  <c r="D67" i="2"/>
  <c r="F66" i="2"/>
  <c r="G66" i="2" s="1"/>
  <c r="D66" i="2"/>
  <c r="F65" i="2"/>
  <c r="G65" i="2" s="1"/>
  <c r="H65" i="2" s="1"/>
  <c r="D65" i="2"/>
  <c r="F64" i="2"/>
  <c r="G64" i="2" s="1"/>
  <c r="H64" i="2" s="1"/>
  <c r="D64" i="2"/>
  <c r="F63" i="2"/>
  <c r="G63" i="2" s="1"/>
  <c r="D63" i="2"/>
  <c r="F62" i="2"/>
  <c r="G62" i="2" s="1"/>
  <c r="D62" i="2"/>
  <c r="F60" i="2"/>
  <c r="G60" i="2" s="1"/>
  <c r="F59" i="2"/>
  <c r="G59" i="2" s="1"/>
  <c r="F58" i="2"/>
  <c r="G58" i="2" s="1"/>
  <c r="F57" i="2"/>
  <c r="G57" i="2" s="1"/>
  <c r="F56" i="2"/>
  <c r="G56" i="2" s="1"/>
  <c r="G61" i="2" s="1"/>
  <c r="H61" i="2" s="1"/>
  <c r="D56" i="2"/>
  <c r="F46" i="2"/>
  <c r="G46" i="2" s="1"/>
  <c r="H46" i="2" s="1"/>
  <c r="D46" i="2"/>
  <c r="G44" i="2"/>
  <c r="G43" i="2"/>
  <c r="G42" i="2"/>
  <c r="F42" i="2"/>
  <c r="D42" i="2"/>
  <c r="F41" i="2"/>
  <c r="G41" i="2" s="1"/>
  <c r="D41" i="2"/>
  <c r="F40" i="2"/>
  <c r="G40" i="2" s="1"/>
  <c r="D40" i="2"/>
  <c r="F39" i="2"/>
  <c r="G39" i="2" s="1"/>
  <c r="D39" i="2"/>
  <c r="G38" i="2"/>
  <c r="F38" i="2"/>
  <c r="D38" i="2"/>
  <c r="F37" i="2"/>
  <c r="G37" i="2" s="1"/>
  <c r="D37" i="2"/>
  <c r="F35" i="2"/>
  <c r="G35" i="2" s="1"/>
  <c r="F34" i="2"/>
  <c r="G34" i="2" s="1"/>
  <c r="F33" i="2"/>
  <c r="G33" i="2" s="1"/>
  <c r="F32" i="2"/>
  <c r="G32" i="2" s="1"/>
  <c r="D32" i="2"/>
  <c r="G22" i="2"/>
  <c r="F22" i="2"/>
  <c r="D22" i="2"/>
  <c r="G20" i="2"/>
  <c r="G19" i="2"/>
  <c r="F18" i="2"/>
  <c r="G18" i="2" s="1"/>
  <c r="D18" i="2"/>
  <c r="F17" i="2"/>
  <c r="G17" i="2" s="1"/>
  <c r="H17" i="2" s="1"/>
  <c r="D17" i="2"/>
  <c r="F16" i="2"/>
  <c r="G16" i="2" s="1"/>
  <c r="H16" i="2" s="1"/>
  <c r="D16" i="2"/>
  <c r="G15" i="2"/>
  <c r="H15" i="2" s="1"/>
  <c r="D15" i="2"/>
  <c r="G14" i="2"/>
  <c r="H14" i="2" s="1"/>
  <c r="D14" i="2"/>
  <c r="G13" i="2"/>
  <c r="F13" i="2"/>
  <c r="D13" i="2"/>
  <c r="F11" i="2"/>
  <c r="G11" i="2" s="1"/>
  <c r="F10" i="2"/>
  <c r="G10" i="2" s="1"/>
  <c r="T9" i="2"/>
  <c r="Q9" i="2"/>
  <c r="N9" i="2"/>
  <c r="F9" i="2"/>
  <c r="G9" i="2" s="1"/>
  <c r="T8" i="2"/>
  <c r="Q8" i="2"/>
  <c r="N8" i="2"/>
  <c r="G8" i="2"/>
  <c r="F8" i="2"/>
  <c r="D8" i="2"/>
  <c r="T7" i="2"/>
  <c r="Q7" i="2"/>
  <c r="N7" i="2"/>
  <c r="F84" i="1"/>
  <c r="F88" i="1"/>
  <c r="J91" i="1"/>
  <c r="F91" i="1" s="1"/>
  <c r="J92" i="1"/>
  <c r="F92" i="1" s="1"/>
  <c r="J90" i="1"/>
  <c r="F90" i="1" s="1"/>
  <c r="J85" i="1"/>
  <c r="F85" i="1" s="1"/>
  <c r="J86" i="1"/>
  <c r="F86" i="1" s="1"/>
  <c r="J87" i="1"/>
  <c r="F87" i="1" s="1"/>
  <c r="J88" i="1"/>
  <c r="J84" i="1"/>
  <c r="J83" i="1"/>
  <c r="F83" i="1" s="1"/>
  <c r="G83" i="1" s="1"/>
  <c r="J82" i="1"/>
  <c r="F82" i="1" s="1"/>
  <c r="G82" i="1" s="1"/>
  <c r="J81" i="1"/>
  <c r="F81" i="1" s="1"/>
  <c r="G81" i="1" s="1"/>
  <c r="D88" i="1"/>
  <c r="G88" i="1"/>
  <c r="D84" i="1"/>
  <c r="D85" i="1"/>
  <c r="D86" i="1"/>
  <c r="D87" i="1"/>
  <c r="D90" i="1"/>
  <c r="D91" i="1"/>
  <c r="D92" i="1"/>
  <c r="D83" i="1"/>
  <c r="D82" i="1"/>
  <c r="D81" i="1"/>
  <c r="AO7" i="1"/>
  <c r="AL7" i="1"/>
  <c r="AI7" i="1"/>
  <c r="AO6" i="1"/>
  <c r="AL6" i="1"/>
  <c r="AI6" i="1"/>
  <c r="AO5" i="1"/>
  <c r="AL5" i="1"/>
  <c r="AI5" i="1"/>
  <c r="AD6" i="1"/>
  <c r="AD7" i="1"/>
  <c r="AD5" i="1"/>
  <c r="AA6" i="1"/>
  <c r="AA7" i="1"/>
  <c r="AA5" i="1"/>
  <c r="X6" i="1"/>
  <c r="X7" i="1"/>
  <c r="X5" i="1"/>
  <c r="O71" i="1"/>
  <c r="P71" i="1" s="1"/>
  <c r="M71" i="1"/>
  <c r="P69" i="1"/>
  <c r="O68" i="1"/>
  <c r="P68" i="1" s="1"/>
  <c r="M68" i="1"/>
  <c r="O67" i="1"/>
  <c r="P67" i="1" s="1"/>
  <c r="M67" i="1"/>
  <c r="O66" i="1"/>
  <c r="P66" i="1" s="1"/>
  <c r="R66" i="1" s="1"/>
  <c r="M66" i="1"/>
  <c r="O64" i="1"/>
  <c r="P64" i="1" s="1"/>
  <c r="R64" i="1" s="1"/>
  <c r="M64" i="1"/>
  <c r="O63" i="1"/>
  <c r="P63" i="1" s="1"/>
  <c r="R63" i="1" s="1"/>
  <c r="M63" i="1"/>
  <c r="O62" i="1"/>
  <c r="P62" i="1" s="1"/>
  <c r="R62" i="1" s="1"/>
  <c r="M62" i="1"/>
  <c r="O60" i="1"/>
  <c r="P60" i="1" s="1"/>
  <c r="O59" i="1"/>
  <c r="P59" i="1" s="1"/>
  <c r="O58" i="1"/>
  <c r="P58" i="1" s="1"/>
  <c r="O57" i="1"/>
  <c r="P57" i="1" s="1"/>
  <c r="O56" i="1"/>
  <c r="P56" i="1" s="1"/>
  <c r="M56" i="1"/>
  <c r="O46" i="1"/>
  <c r="P46" i="1" s="1"/>
  <c r="R46" i="1" s="1"/>
  <c r="M46" i="1"/>
  <c r="P44" i="1"/>
  <c r="P43" i="1"/>
  <c r="O42" i="1"/>
  <c r="P42" i="1" s="1"/>
  <c r="M42" i="1"/>
  <c r="O41" i="1"/>
  <c r="P41" i="1" s="1"/>
  <c r="R41" i="1" s="1"/>
  <c r="M41" i="1"/>
  <c r="O40" i="1"/>
  <c r="P40" i="1" s="1"/>
  <c r="R40" i="1" s="1"/>
  <c r="M40" i="1"/>
  <c r="O38" i="1"/>
  <c r="P38" i="1" s="1"/>
  <c r="R38" i="1" s="1"/>
  <c r="M38" i="1"/>
  <c r="O37" i="1"/>
  <c r="P37" i="1" s="1"/>
  <c r="R37" i="1" s="1"/>
  <c r="M37" i="1"/>
  <c r="O36" i="1"/>
  <c r="P36" i="1" s="1"/>
  <c r="R36" i="1" s="1"/>
  <c r="M36" i="1"/>
  <c r="O34" i="1"/>
  <c r="P34" i="1" s="1"/>
  <c r="O33" i="1"/>
  <c r="P33" i="1" s="1"/>
  <c r="O32" i="1"/>
  <c r="P32" i="1" s="1"/>
  <c r="O31" i="1"/>
  <c r="P31" i="1" s="1"/>
  <c r="M31" i="1"/>
  <c r="O21" i="1"/>
  <c r="P21" i="1" s="1"/>
  <c r="R21" i="1" s="1"/>
  <c r="M21" i="1"/>
  <c r="P19" i="1"/>
  <c r="P18" i="1"/>
  <c r="O17" i="1"/>
  <c r="P17" i="1" s="1"/>
  <c r="M17" i="1"/>
  <c r="O16" i="1"/>
  <c r="P16" i="1" s="1"/>
  <c r="R16" i="1" s="1"/>
  <c r="M16" i="1"/>
  <c r="O15" i="1"/>
  <c r="P15" i="1" s="1"/>
  <c r="R15" i="1" s="1"/>
  <c r="M15" i="1"/>
  <c r="O13" i="1"/>
  <c r="P13" i="1" s="1"/>
  <c r="R13" i="1" s="1"/>
  <c r="M13" i="1"/>
  <c r="O12" i="1"/>
  <c r="P12" i="1" s="1"/>
  <c r="R12" i="1" s="1"/>
  <c r="M12" i="1"/>
  <c r="O11" i="1"/>
  <c r="P11" i="1" s="1"/>
  <c r="R11" i="1" s="1"/>
  <c r="M11" i="1"/>
  <c r="O9" i="1"/>
  <c r="P9" i="1" s="1"/>
  <c r="O8" i="1"/>
  <c r="P8" i="1" s="1"/>
  <c r="O7" i="1"/>
  <c r="P7" i="1" s="1"/>
  <c r="O6" i="1"/>
  <c r="P6" i="1" s="1"/>
  <c r="M6" i="1"/>
  <c r="F60" i="1"/>
  <c r="G60" i="1" s="1"/>
  <c r="F68" i="1"/>
  <c r="G68" i="1" s="1"/>
  <c r="F67" i="1"/>
  <c r="F66" i="1"/>
  <c r="G66" i="1" s="1"/>
  <c r="F64" i="1"/>
  <c r="G64" i="1" s="1"/>
  <c r="F63" i="1"/>
  <c r="G63" i="1" s="1"/>
  <c r="I63" i="1" s="1"/>
  <c r="F62" i="1"/>
  <c r="F59" i="1"/>
  <c r="G59" i="1" s="1"/>
  <c r="F58" i="1"/>
  <c r="G58" i="1" s="1"/>
  <c r="F71" i="1"/>
  <c r="G71" i="1" s="1"/>
  <c r="D71" i="1"/>
  <c r="G69" i="1"/>
  <c r="D68" i="1"/>
  <c r="G67" i="1"/>
  <c r="D67" i="1"/>
  <c r="D66" i="1"/>
  <c r="D64" i="1"/>
  <c r="D63" i="1"/>
  <c r="G62" i="1"/>
  <c r="D62" i="1"/>
  <c r="F57" i="1"/>
  <c r="G57" i="1" s="1"/>
  <c r="F56" i="1"/>
  <c r="G56" i="1" s="1"/>
  <c r="D56" i="1"/>
  <c r="F42" i="1"/>
  <c r="G42" i="1" s="1"/>
  <c r="F41" i="1"/>
  <c r="G41" i="1" s="1"/>
  <c r="F40" i="1"/>
  <c r="F38" i="1"/>
  <c r="G38" i="1" s="1"/>
  <c r="F37" i="1"/>
  <c r="G37" i="1" s="1"/>
  <c r="F36" i="1"/>
  <c r="G36" i="1" s="1"/>
  <c r="F34" i="1"/>
  <c r="G34" i="1" s="1"/>
  <c r="F33" i="1"/>
  <c r="G33" i="1" s="1"/>
  <c r="F46" i="1"/>
  <c r="G46" i="1" s="1"/>
  <c r="D46" i="1"/>
  <c r="G44" i="1"/>
  <c r="G43" i="1"/>
  <c r="D42" i="1"/>
  <c r="D41" i="1"/>
  <c r="G40" i="1"/>
  <c r="D40" i="1"/>
  <c r="D38" i="1"/>
  <c r="D37" i="1"/>
  <c r="D36" i="1"/>
  <c r="F32" i="1"/>
  <c r="G32" i="1" s="1"/>
  <c r="F31" i="1"/>
  <c r="G31" i="1" s="1"/>
  <c r="D31" i="1"/>
  <c r="G87" i="1" l="1"/>
  <c r="L87" i="1"/>
  <c r="N87" i="1"/>
  <c r="O87" i="1" s="1"/>
  <c r="P87" i="1"/>
  <c r="Q87" i="1" s="1"/>
  <c r="G92" i="1"/>
  <c r="H92" i="1" s="1"/>
  <c r="P92" i="1"/>
  <c r="L92" i="1"/>
  <c r="M92" i="1" s="1"/>
  <c r="N92" i="1"/>
  <c r="O92" i="1" s="1"/>
  <c r="D17" i="6"/>
  <c r="H65" i="1"/>
  <c r="Q71" i="1"/>
  <c r="R71" i="1"/>
  <c r="I64" i="1"/>
  <c r="D22" i="6"/>
  <c r="D29" i="6" s="1"/>
  <c r="O83" i="1"/>
  <c r="Q83" i="1"/>
  <c r="M83" i="1"/>
  <c r="M87" i="1"/>
  <c r="G86" i="1"/>
  <c r="H86" i="1" s="1"/>
  <c r="L86" i="1"/>
  <c r="N86" i="1"/>
  <c r="O86" i="1" s="1"/>
  <c r="P86" i="1"/>
  <c r="G91" i="1"/>
  <c r="L91" i="1"/>
  <c r="P91" i="1"/>
  <c r="Q91" i="1" s="1"/>
  <c r="N91" i="1"/>
  <c r="U7" i="2"/>
  <c r="G21" i="2"/>
  <c r="H21" i="2" s="1"/>
  <c r="H66" i="2"/>
  <c r="H83" i="2"/>
  <c r="D16" i="7"/>
  <c r="Q47" i="1"/>
  <c r="R47" i="1"/>
  <c r="Q82" i="1"/>
  <c r="M82" i="1"/>
  <c r="O82" i="1"/>
  <c r="Q84" i="1"/>
  <c r="I37" i="1"/>
  <c r="Q92" i="1"/>
  <c r="Q86" i="1"/>
  <c r="M86" i="1"/>
  <c r="M88" i="1"/>
  <c r="G85" i="1"/>
  <c r="N85" i="1"/>
  <c r="P85" i="1"/>
  <c r="L85" i="1"/>
  <c r="P88" i="1"/>
  <c r="Q88" i="1" s="1"/>
  <c r="R88" i="1" s="1"/>
  <c r="L88" i="1"/>
  <c r="N88" i="1"/>
  <c r="O88" i="1" s="1"/>
  <c r="H13" i="2"/>
  <c r="G45" i="2"/>
  <c r="H45" i="2" s="1"/>
  <c r="H90" i="2"/>
  <c r="D16" i="6"/>
  <c r="G84" i="1"/>
  <c r="H84" i="1" s="1"/>
  <c r="P84" i="1"/>
  <c r="L84" i="1"/>
  <c r="M84" i="1" s="1"/>
  <c r="N84" i="1"/>
  <c r="O84" i="1" s="1"/>
  <c r="D22" i="8"/>
  <c r="D29" i="8" s="1"/>
  <c r="I38" i="1"/>
  <c r="D22" i="7"/>
  <c r="D29" i="7" s="1"/>
  <c r="O81" i="1"/>
  <c r="M81" i="1"/>
  <c r="Q81" i="1"/>
  <c r="M91" i="1"/>
  <c r="O91" i="1"/>
  <c r="Q85" i="1"/>
  <c r="M85" i="1"/>
  <c r="O85" i="1"/>
  <c r="G90" i="1"/>
  <c r="H90" i="1" s="1"/>
  <c r="N90" i="1"/>
  <c r="O90" i="1" s="1"/>
  <c r="R90" i="1" s="1"/>
  <c r="P90" i="1"/>
  <c r="Q90" i="1" s="1"/>
  <c r="L90" i="1"/>
  <c r="M90" i="1" s="1"/>
  <c r="U8" i="2"/>
  <c r="U9" i="2"/>
  <c r="H40" i="2"/>
  <c r="H62" i="2"/>
  <c r="H84" i="2"/>
  <c r="H39" i="2"/>
  <c r="H22" i="2"/>
  <c r="H38" i="2"/>
  <c r="H63" i="2"/>
  <c r="H73" i="2" s="1"/>
  <c r="I73" i="2" s="1"/>
  <c r="H69" i="2"/>
  <c r="H70" i="2"/>
  <c r="L10" i="2"/>
  <c r="U10" i="2" s="1"/>
  <c r="H37" i="2"/>
  <c r="H41" i="2"/>
  <c r="G88" i="2"/>
  <c r="H86" i="2" s="1"/>
  <c r="H92" i="2" s="1"/>
  <c r="G12" i="2"/>
  <c r="H12" i="2" s="1"/>
  <c r="H25" i="2" s="1"/>
  <c r="G36" i="2"/>
  <c r="H36" i="2" s="1"/>
  <c r="H49" i="2" s="1"/>
  <c r="I49" i="2" s="1"/>
  <c r="H81" i="1"/>
  <c r="H91" i="1"/>
  <c r="H85" i="1"/>
  <c r="G89" i="1"/>
  <c r="H87" i="1" s="1"/>
  <c r="Q63" i="1"/>
  <c r="Q66" i="1"/>
  <c r="H83" i="1"/>
  <c r="Q62" i="1"/>
  <c r="Q64" i="1"/>
  <c r="Q67" i="1"/>
  <c r="Q12" i="1"/>
  <c r="Q15" i="1"/>
  <c r="H82" i="1"/>
  <c r="P70" i="1"/>
  <c r="V8" i="1"/>
  <c r="P61" i="1"/>
  <c r="P20" i="1"/>
  <c r="Q21" i="1"/>
  <c r="P35" i="1"/>
  <c r="P10" i="1"/>
  <c r="Q36" i="1"/>
  <c r="Q41" i="1"/>
  <c r="H66" i="1"/>
  <c r="Q13" i="1"/>
  <c r="Q38" i="1"/>
  <c r="H46" i="1"/>
  <c r="Q11" i="1"/>
  <c r="Q16" i="1"/>
  <c r="Q37" i="1"/>
  <c r="Q40" i="1"/>
  <c r="P45" i="1"/>
  <c r="Q46" i="1"/>
  <c r="AG8" i="1"/>
  <c r="H36" i="1"/>
  <c r="G45" i="1"/>
  <c r="H45" i="1" s="1"/>
  <c r="H71" i="1"/>
  <c r="H40" i="1"/>
  <c r="H62" i="1"/>
  <c r="H67" i="1"/>
  <c r="H41" i="1"/>
  <c r="G61" i="1"/>
  <c r="H61" i="1" s="1"/>
  <c r="G70" i="1"/>
  <c r="H70" i="1" s="1"/>
  <c r="G35" i="1"/>
  <c r="H35" i="1" s="1"/>
  <c r="F21" i="1"/>
  <c r="G21" i="1" s="1"/>
  <c r="F17" i="1"/>
  <c r="G17" i="1" s="1"/>
  <c r="G18" i="1"/>
  <c r="G19" i="1"/>
  <c r="D21" i="1"/>
  <c r="D17" i="1"/>
  <c r="F16" i="1"/>
  <c r="G16" i="1" s="1"/>
  <c r="D16" i="1"/>
  <c r="F15" i="1"/>
  <c r="G15" i="1" s="1"/>
  <c r="D15" i="1"/>
  <c r="F12" i="1"/>
  <c r="G12" i="1" s="1"/>
  <c r="F13" i="1"/>
  <c r="G13" i="1" s="1"/>
  <c r="I13" i="1" s="1"/>
  <c r="F11" i="1"/>
  <c r="G11" i="1" s="1"/>
  <c r="F9" i="1"/>
  <c r="G9" i="1" s="1"/>
  <c r="F8" i="1"/>
  <c r="G8" i="1" s="1"/>
  <c r="F7" i="1"/>
  <c r="G7" i="1" s="1"/>
  <c r="F6" i="1"/>
  <c r="G6" i="1" s="1"/>
  <c r="D13" i="1"/>
  <c r="D12" i="1"/>
  <c r="D11" i="1"/>
  <c r="D6" i="1"/>
  <c r="D18" i="6" l="1"/>
  <c r="D25" i="6" s="1"/>
  <c r="I25" i="2"/>
  <c r="I2" i="2" s="1"/>
  <c r="Q45" i="1"/>
  <c r="R45" i="1"/>
  <c r="Q35" i="1"/>
  <c r="R35" i="1"/>
  <c r="R49" i="1" s="1"/>
  <c r="R84" i="1"/>
  <c r="D13" i="7"/>
  <c r="D11" i="8"/>
  <c r="D9" i="7"/>
  <c r="Q70" i="1"/>
  <c r="R70" i="1"/>
  <c r="R74" i="1" s="1"/>
  <c r="R86" i="1"/>
  <c r="R82" i="1"/>
  <c r="D10" i="8"/>
  <c r="R87" i="1"/>
  <c r="D12" i="8"/>
  <c r="I12" i="1"/>
  <c r="H14" i="1" s="1"/>
  <c r="D13" i="8"/>
  <c r="R85" i="1"/>
  <c r="D8" i="8"/>
  <c r="H74" i="1"/>
  <c r="D11" i="7"/>
  <c r="Q20" i="1"/>
  <c r="R20" i="1"/>
  <c r="R91" i="1"/>
  <c r="M93" i="1"/>
  <c r="R92" i="1"/>
  <c r="R83" i="1"/>
  <c r="D8" i="7"/>
  <c r="D9" i="8"/>
  <c r="D15" i="7"/>
  <c r="R81" i="1"/>
  <c r="Q93" i="1"/>
  <c r="G14" i="1"/>
  <c r="H11" i="1"/>
  <c r="D12" i="7"/>
  <c r="D15" i="8"/>
  <c r="Q10" i="1"/>
  <c r="Q24" i="1" s="1"/>
  <c r="R10" i="1"/>
  <c r="R24" i="1" s="1"/>
  <c r="Q61" i="1"/>
  <c r="Q74" i="1" s="1"/>
  <c r="R61" i="1"/>
  <c r="O93" i="1"/>
  <c r="H39" i="1"/>
  <c r="H93" i="1"/>
  <c r="H16" i="1"/>
  <c r="G20" i="1"/>
  <c r="H20" i="1" s="1"/>
  <c r="H15" i="1"/>
  <c r="G10" i="1"/>
  <c r="H10" i="1" s="1"/>
  <c r="H21" i="1"/>
  <c r="D8" i="6" l="1"/>
  <c r="H24" i="1"/>
  <c r="D14" i="6"/>
  <c r="D10" i="6"/>
  <c r="D11" i="6"/>
  <c r="D19" i="8"/>
  <c r="D26" i="8" s="1"/>
  <c r="D19" i="6"/>
  <c r="D26" i="6" s="1"/>
  <c r="D14" i="8"/>
  <c r="R93" i="1"/>
  <c r="D19" i="7"/>
  <c r="D26" i="7" s="1"/>
  <c r="D13" i="6"/>
  <c r="D14" i="7"/>
  <c r="D18" i="8"/>
  <c r="D25" i="8" s="1"/>
  <c r="Q49" i="1"/>
  <c r="D15" i="6"/>
  <c r="D12" i="6"/>
  <c r="D10" i="7"/>
  <c r="D9" i="6"/>
  <c r="H49" i="1"/>
  <c r="D18" i="7" l="1"/>
  <c r="D25" i="7" s="1"/>
</calcChain>
</file>

<file path=xl/sharedStrings.xml><?xml version="1.0" encoding="utf-8"?>
<sst xmlns="http://schemas.openxmlformats.org/spreadsheetml/2006/main" count="626" uniqueCount="102">
  <si>
    <t>Oszlop</t>
  </si>
  <si>
    <t>Ferde rács</t>
  </si>
  <si>
    <t>Pálya</t>
  </si>
  <si>
    <t>b</t>
  </si>
  <si>
    <t>h</t>
  </si>
  <si>
    <t>A</t>
  </si>
  <si>
    <t>Keresztmetszet</t>
  </si>
  <si>
    <t>1. híd felszerkezet</t>
  </si>
  <si>
    <t>[m]</t>
  </si>
  <si>
    <t>[mm]</t>
  </si>
  <si>
    <r>
      <t>[mm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]</t>
    </r>
  </si>
  <si>
    <t>Hossz</t>
  </si>
  <si>
    <t>Egyedi</t>
  </si>
  <si>
    <t>Darab</t>
  </si>
  <si>
    <t>[-]</t>
  </si>
  <si>
    <t>Alsó és felső öv</t>
  </si>
  <si>
    <t>Teljes</t>
  </si>
  <si>
    <t>Σ</t>
  </si>
  <si>
    <t>V</t>
  </si>
  <si>
    <r>
      <t>[m</t>
    </r>
    <r>
      <rPr>
        <vertAlign val="superscript"/>
        <sz val="12"/>
        <color theme="1"/>
        <rFont val="Times New Roman"/>
        <family val="1"/>
        <charset val="238"/>
      </rPr>
      <t>3</t>
    </r>
    <r>
      <rPr>
        <sz val="12"/>
        <color theme="1"/>
        <rFont val="Times New Roman"/>
        <family val="1"/>
        <charset val="238"/>
      </rPr>
      <t>]</t>
    </r>
  </si>
  <si>
    <t>Kereszttartó</t>
  </si>
  <si>
    <t>Szélrács</t>
  </si>
  <si>
    <t>Könyök</t>
  </si>
  <si>
    <t>2. híd felszerkezet</t>
  </si>
  <si>
    <t>3. híd felszerkezet</t>
  </si>
  <si>
    <r>
      <t>[mm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]</t>
    </r>
  </si>
  <si>
    <r>
      <t>[m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]</t>
    </r>
  </si>
  <si>
    <t>Cölöpök</t>
  </si>
  <si>
    <t>1. híd</t>
  </si>
  <si>
    <t>A0</t>
  </si>
  <si>
    <t>B</t>
  </si>
  <si>
    <t>Támasz</t>
  </si>
  <si>
    <t>Támasz #</t>
  </si>
  <si>
    <t>Cölöp #</t>
  </si>
  <si>
    <t>Cölöp/Támasz</t>
  </si>
  <si>
    <t>2. híd</t>
  </si>
  <si>
    <t>3. híd</t>
  </si>
  <si>
    <t>Támaszok</t>
  </si>
  <si>
    <t>A0 gerenda</t>
  </si>
  <si>
    <t>A2 gerenda</t>
  </si>
  <si>
    <t>A1 gerenda</t>
  </si>
  <si>
    <t>B1 gerenda</t>
  </si>
  <si>
    <t>B2 gerenda</t>
  </si>
  <si>
    <t>B3 oszlop</t>
  </si>
  <si>
    <t>B5 gerenda</t>
  </si>
  <si>
    <t>B4 rúd</t>
  </si>
  <si>
    <t>B6 oszlop</t>
  </si>
  <si>
    <t>B7 merevítés</t>
  </si>
  <si>
    <t>Vörösfenyő egységár [m3]</t>
  </si>
  <si>
    <t>Cölöp egységár [db]</t>
  </si>
  <si>
    <t>Ár</t>
  </si>
  <si>
    <t>Korlát</t>
  </si>
  <si>
    <t>Kapaszkodó</t>
  </si>
  <si>
    <t>Árazatlan költségvetés</t>
  </si>
  <si>
    <t>Anyag</t>
  </si>
  <si>
    <t>Munkadíj</t>
  </si>
  <si>
    <t>Vörösfenyő</t>
  </si>
  <si>
    <t>Mennyiség</t>
  </si>
  <si>
    <t>Egységár</t>
  </si>
  <si>
    <t>Mértékegység</t>
  </si>
  <si>
    <t>Teljes ár</t>
  </si>
  <si>
    <t>Gombamentesítés</t>
  </si>
  <si>
    <t>MSZ EN 335-1</t>
  </si>
  <si>
    <t>MSZ EN 335-3</t>
  </si>
  <si>
    <t>MSZ EN 335-2</t>
  </si>
  <si>
    <t>DIN 68.800/3</t>
  </si>
  <si>
    <t>GK 3 veszélyeztetettségi osztály talajkontaktus nélkül (általában)</t>
  </si>
  <si>
    <t>GK 4 veszélyeztetettségi osztály talajkontaktussal (A0 támasz)</t>
  </si>
  <si>
    <r>
      <t>[m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>]</t>
    </r>
  </si>
  <si>
    <t>Wolmanit CX 10 (nyomás alatt)</t>
  </si>
  <si>
    <t>Svéd Faolaj (Hídolaj)</t>
  </si>
  <si>
    <t>Tűzvédelem</t>
  </si>
  <si>
    <t>1996. évi XXXI. törvény és az 54/2014 (XII.5.) BM rendelettel kiadott Országos Tűzvédelmi Szabályzat</t>
  </si>
  <si>
    <t>Az építőipari kivitelezési tevékenységről szóló 191/2009.(IX.15.) Korm. rendelet vonatkozó előírásai figyelembevételével</t>
  </si>
  <si>
    <t>A tűzvédelmi tervezői tevékenység folytatásának szabályairól szóló 375/2011.(XII.31.) Korm. rendelet</t>
  </si>
  <si>
    <t>MSZ 595 1 1986 Építmények tűzvédelme. Fogalommeghatározások</t>
  </si>
  <si>
    <t>MSZ 595 3 1986 Építmények tűzvédelme. Épületszerkezetek tűzállósági követelményei</t>
  </si>
  <si>
    <t>MSZ 595/3-1M 1987 Építmények tűzvédelme. Épületszerkezetek tűzállósági követelményei</t>
  </si>
  <si>
    <t>MSZ 595/3-2M 1989 Építmények tűzvédelme. Épületszerkezetek tűzállósági követelményei</t>
  </si>
  <si>
    <t>MSz 6771 sz. sorozat</t>
  </si>
  <si>
    <t>27/1981 MÉM rendelet</t>
  </si>
  <si>
    <t>9001/1982 MÉM közlemény</t>
  </si>
  <si>
    <t>MSZ EN 599-1</t>
  </si>
  <si>
    <t>MSZ EN 599-2</t>
  </si>
  <si>
    <t>db</t>
  </si>
  <si>
    <r>
      <t>[m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]</t>
    </r>
  </si>
  <si>
    <t>Borovi- fenyő</t>
  </si>
  <si>
    <t>Felület- kezelés</t>
  </si>
  <si>
    <t>Kötőelem</t>
  </si>
  <si>
    <t>[db]</t>
  </si>
  <si>
    <t>Cölöp</t>
  </si>
  <si>
    <t>Faanyag méretrevágása és összeállítása</t>
  </si>
  <si>
    <t>Faanyag kezelése</t>
  </si>
  <si>
    <t>Helyszínre szállítás</t>
  </si>
  <si>
    <t>Cölöpözés</t>
  </si>
  <si>
    <t>Felszerkezet beemelése</t>
  </si>
  <si>
    <t>Próbaterhelés</t>
  </si>
  <si>
    <t>Ideiglenes állás építés</t>
  </si>
  <si>
    <t>Tereprendezés</t>
  </si>
  <si>
    <t>Kötőelem (M16.8.8)</t>
  </si>
  <si>
    <t>Kiegészítő acél elem</t>
  </si>
  <si>
    <t>Összesen (Nettó)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</si>
</sst>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1" fillId="0" borderId="0" xfId="0" applyNumberFormat="1" applyFont="1"/>
    <xf numFmtId="0" fontId="1" fillId="0" borderId="1" xfId="0" applyFont="1" applyBorder="1"/>
    <xf numFmtId="2" fontId="1" fillId="0" borderId="1" xfId="0" applyNumberFormat="1" applyFont="1" applyBorder="1"/>
    <xf numFmtId="2" fontId="1" fillId="2" borderId="1" xfId="0" applyNumberFormat="1" applyFont="1" applyFill="1" applyBorder="1"/>
    <xf numFmtId="0" fontId="0" fillId="0" borderId="0" xfId="0" applyFill="1"/>
    <xf numFmtId="164" fontId="0" fillId="0" borderId="1" xfId="0" applyNumberFormat="1" applyFill="1" applyBorder="1"/>
    <xf numFmtId="1" fontId="0" fillId="0" borderId="1" xfId="0" applyNumberFormat="1" applyFill="1" applyBorder="1"/>
    <xf numFmtId="0" fontId="0" fillId="0" borderId="1" xfId="0" applyFill="1" applyBorder="1"/>
    <xf numFmtId="0" fontId="0" fillId="0" borderId="0" xfId="0" applyFill="1" applyAlignment="1"/>
    <xf numFmtId="2" fontId="0" fillId="0" borderId="0" xfId="0" applyNumberFormat="1" applyFill="1"/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vertical="center" textRotation="90" wrapText="1"/>
    </xf>
    <xf numFmtId="0" fontId="1" fillId="0" borderId="0" xfId="0" applyFont="1" applyFill="1"/>
    <xf numFmtId="2" fontId="1" fillId="0" borderId="1" xfId="0" applyNumberFormat="1" applyFont="1" applyFill="1" applyBorder="1"/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64" fontId="3" fillId="3" borderId="1" xfId="0" applyNumberFormat="1" applyFont="1" applyFill="1" applyBorder="1"/>
    <xf numFmtId="0" fontId="1" fillId="0" borderId="0" xfId="0" applyFont="1" applyFill="1" applyAlignment="1"/>
    <xf numFmtId="164" fontId="1" fillId="0" borderId="1" xfId="0" applyNumberFormat="1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/>
    <xf numFmtId="2" fontId="1" fillId="0" borderId="2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O93"/>
  <sheetViews>
    <sheetView tabSelected="1" zoomScaleNormal="100" zoomScalePageLayoutView="70" workbookViewId="0">
      <selection activeCell="U12" sqref="U12"/>
    </sheetView>
  </sheetViews>
  <sheetFormatPr baseColWidth="10" defaultColWidth="9.1640625" defaultRowHeight="16" x14ac:dyDescent="0.2"/>
  <cols>
    <col min="1" max="1" width="15.83203125" style="1" bestFit="1" customWidth="1"/>
    <col min="2" max="2" width="6.6640625" style="1" bestFit="1" customWidth="1"/>
    <col min="3" max="3" width="6.5" style="1" bestFit="1" customWidth="1"/>
    <col min="4" max="5" width="9.5" style="1" bestFit="1" customWidth="1"/>
    <col min="6" max="6" width="8.5" style="1" bestFit="1" customWidth="1"/>
    <col min="7" max="9" width="9.1640625" style="1"/>
    <col min="10" max="10" width="14.83203125" style="1" bestFit="1" customWidth="1"/>
    <col min="11" max="15" width="9.1640625" style="1"/>
    <col min="16" max="16" width="9.1640625" style="1" customWidth="1"/>
    <col min="17" max="20" width="9.1640625" style="1"/>
    <col min="21" max="21" width="7.5" style="1" bestFit="1" customWidth="1"/>
    <col min="22" max="22" width="13.6640625" style="1" bestFit="1" customWidth="1"/>
    <col min="23" max="23" width="9.33203125" style="1" bestFit="1" customWidth="1"/>
    <col min="24" max="24" width="8.1640625" style="1" bestFit="1" customWidth="1"/>
    <col min="25" max="25" width="13.6640625" style="1" bestFit="1" customWidth="1"/>
    <col min="26" max="26" width="9.33203125" style="1" bestFit="1" customWidth="1"/>
    <col min="27" max="27" width="8.1640625" style="1" bestFit="1" customWidth="1"/>
    <col min="28" max="28" width="13.6640625" style="1" bestFit="1" customWidth="1"/>
    <col min="29" max="29" width="9.33203125" style="1" bestFit="1" customWidth="1"/>
    <col min="30" max="30" width="8.1640625" style="1" bestFit="1" customWidth="1"/>
    <col min="31" max="31" width="9.1640625" style="1"/>
    <col min="32" max="32" width="7.5" style="1" bestFit="1" customWidth="1"/>
    <col min="33" max="33" width="13.6640625" style="1" bestFit="1" customWidth="1"/>
    <col min="34" max="34" width="9.33203125" style="1" bestFit="1" customWidth="1"/>
    <col min="35" max="35" width="8.1640625" style="1" bestFit="1" customWidth="1"/>
    <col min="36" max="36" width="13.6640625" style="1" bestFit="1" customWidth="1"/>
    <col min="37" max="37" width="9.33203125" style="1" bestFit="1" customWidth="1"/>
    <col min="38" max="38" width="8.1640625" style="1" bestFit="1" customWidth="1"/>
    <col min="39" max="39" width="13.6640625" style="1" bestFit="1" customWidth="1"/>
    <col min="40" max="40" width="9.33203125" style="1" bestFit="1" customWidth="1"/>
    <col min="41" max="41" width="8.1640625" style="1" bestFit="1" customWidth="1"/>
    <col min="42" max="16384" width="9.1640625" style="1"/>
  </cols>
  <sheetData>
    <row r="2" spans="1:41" x14ac:dyDescent="0.2">
      <c r="A2" s="85" t="s">
        <v>7</v>
      </c>
      <c r="B2" s="85"/>
      <c r="C2" s="85"/>
      <c r="D2" s="85"/>
      <c r="E2" s="85"/>
      <c r="F2" s="85"/>
      <c r="G2" s="85"/>
      <c r="H2" s="85"/>
      <c r="I2" s="2"/>
      <c r="J2" s="87" t="s">
        <v>7</v>
      </c>
      <c r="K2" s="87"/>
      <c r="L2" s="87"/>
      <c r="M2" s="87"/>
      <c r="N2" s="87"/>
      <c r="O2" s="87"/>
      <c r="P2" s="87"/>
      <c r="Q2" s="87"/>
      <c r="R2" s="47"/>
      <c r="S2" s="47"/>
      <c r="U2" s="85" t="s">
        <v>27</v>
      </c>
      <c r="V2" s="85"/>
      <c r="W2" s="85"/>
      <c r="X2" s="85"/>
      <c r="Y2" s="85"/>
      <c r="Z2" s="85"/>
      <c r="AA2" s="85"/>
      <c r="AB2" s="85"/>
      <c r="AC2" s="85"/>
      <c r="AD2" s="85"/>
      <c r="AF2" s="84" t="s">
        <v>27</v>
      </c>
      <c r="AG2" s="84"/>
      <c r="AH2" s="84"/>
      <c r="AI2" s="84"/>
      <c r="AJ2" s="84"/>
      <c r="AK2" s="84"/>
      <c r="AL2" s="84"/>
      <c r="AM2" s="84"/>
      <c r="AN2" s="84"/>
      <c r="AO2" s="84"/>
    </row>
    <row r="3" spans="1:41" x14ac:dyDescent="0.2">
      <c r="A3" s="72"/>
      <c r="B3" s="72" t="s">
        <v>6</v>
      </c>
      <c r="C3" s="72"/>
      <c r="D3" s="72"/>
      <c r="E3" s="72" t="s">
        <v>11</v>
      </c>
      <c r="F3" s="72"/>
      <c r="G3" s="72"/>
      <c r="H3" s="72"/>
      <c r="I3" s="2"/>
      <c r="J3" s="83"/>
      <c r="K3" s="83" t="s">
        <v>6</v>
      </c>
      <c r="L3" s="83"/>
      <c r="M3" s="83"/>
      <c r="N3" s="83" t="s">
        <v>11</v>
      </c>
      <c r="O3" s="83"/>
      <c r="P3" s="83"/>
      <c r="Q3" s="83"/>
      <c r="R3" s="21"/>
      <c r="S3" s="21"/>
      <c r="U3" s="73" t="s">
        <v>31</v>
      </c>
      <c r="V3" s="72" t="s">
        <v>29</v>
      </c>
      <c r="W3" s="72"/>
      <c r="X3" s="72"/>
      <c r="Y3" s="72" t="s">
        <v>5</v>
      </c>
      <c r="Z3" s="72"/>
      <c r="AA3" s="72"/>
      <c r="AB3" s="72" t="s">
        <v>30</v>
      </c>
      <c r="AC3" s="72"/>
      <c r="AD3" s="72"/>
      <c r="AF3" s="79" t="s">
        <v>31</v>
      </c>
      <c r="AG3" s="78" t="s">
        <v>29</v>
      </c>
      <c r="AH3" s="78"/>
      <c r="AI3" s="78"/>
      <c r="AJ3" s="78" t="s">
        <v>5</v>
      </c>
      <c r="AK3" s="78"/>
      <c r="AL3" s="78"/>
      <c r="AM3" s="78" t="s">
        <v>30</v>
      </c>
      <c r="AN3" s="78"/>
      <c r="AO3" s="78"/>
    </row>
    <row r="4" spans="1:41" x14ac:dyDescent="0.2">
      <c r="A4" s="72"/>
      <c r="B4" s="6" t="s">
        <v>3</v>
      </c>
      <c r="C4" s="6" t="s">
        <v>4</v>
      </c>
      <c r="D4" s="6" t="s">
        <v>5</v>
      </c>
      <c r="E4" s="6" t="s">
        <v>12</v>
      </c>
      <c r="F4" s="6" t="s">
        <v>13</v>
      </c>
      <c r="G4" s="6" t="s">
        <v>16</v>
      </c>
      <c r="H4" s="6" t="s">
        <v>18</v>
      </c>
      <c r="I4" s="2"/>
      <c r="J4" s="83"/>
      <c r="K4" s="15" t="s">
        <v>3</v>
      </c>
      <c r="L4" s="15" t="s">
        <v>4</v>
      </c>
      <c r="M4" s="15" t="s">
        <v>5</v>
      </c>
      <c r="N4" s="15" t="s">
        <v>12</v>
      </c>
      <c r="O4" s="15" t="s">
        <v>13</v>
      </c>
      <c r="P4" s="15" t="s">
        <v>16</v>
      </c>
      <c r="Q4" s="15" t="s">
        <v>18</v>
      </c>
      <c r="R4" s="21" t="s">
        <v>5</v>
      </c>
      <c r="S4" s="21"/>
      <c r="U4" s="75"/>
      <c r="V4" s="6" t="s">
        <v>34</v>
      </c>
      <c r="W4" s="6" t="s">
        <v>32</v>
      </c>
      <c r="X4" s="6" t="s">
        <v>33</v>
      </c>
      <c r="Y4" s="6" t="s">
        <v>34</v>
      </c>
      <c r="Z4" s="6" t="s">
        <v>32</v>
      </c>
      <c r="AA4" s="6" t="s">
        <v>33</v>
      </c>
      <c r="AB4" s="6" t="s">
        <v>34</v>
      </c>
      <c r="AC4" s="6" t="s">
        <v>32</v>
      </c>
      <c r="AD4" s="6" t="s">
        <v>33</v>
      </c>
      <c r="AF4" s="81"/>
      <c r="AG4" s="17" t="s">
        <v>34</v>
      </c>
      <c r="AH4" s="17" t="s">
        <v>32</v>
      </c>
      <c r="AI4" s="17" t="s">
        <v>33</v>
      </c>
      <c r="AJ4" s="17" t="s">
        <v>34</v>
      </c>
      <c r="AK4" s="17" t="s">
        <v>32</v>
      </c>
      <c r="AL4" s="17" t="s">
        <v>33</v>
      </c>
      <c r="AM4" s="17" t="s">
        <v>34</v>
      </c>
      <c r="AN4" s="17" t="s">
        <v>32</v>
      </c>
      <c r="AO4" s="17" t="s">
        <v>33</v>
      </c>
    </row>
    <row r="5" spans="1:41" ht="18" x14ac:dyDescent="0.2">
      <c r="A5" s="72"/>
      <c r="B5" s="6" t="s">
        <v>9</v>
      </c>
      <c r="C5" s="6" t="s">
        <v>9</v>
      </c>
      <c r="D5" s="6" t="s">
        <v>10</v>
      </c>
      <c r="E5" s="6" t="s">
        <v>9</v>
      </c>
      <c r="F5" s="6" t="s">
        <v>14</v>
      </c>
      <c r="G5" s="6" t="s">
        <v>8</v>
      </c>
      <c r="H5" s="6" t="s">
        <v>19</v>
      </c>
      <c r="I5" s="2"/>
      <c r="J5" s="83"/>
      <c r="K5" s="15" t="s">
        <v>9</v>
      </c>
      <c r="L5" s="15" t="s">
        <v>9</v>
      </c>
      <c r="M5" s="15" t="s">
        <v>25</v>
      </c>
      <c r="N5" s="15" t="s">
        <v>9</v>
      </c>
      <c r="O5" s="15" t="s">
        <v>14</v>
      </c>
      <c r="P5" s="15" t="s">
        <v>8</v>
      </c>
      <c r="Q5" s="15" t="s">
        <v>26</v>
      </c>
      <c r="R5" s="15" t="s">
        <v>68</v>
      </c>
      <c r="S5" s="21"/>
      <c r="U5" s="6" t="s">
        <v>28</v>
      </c>
      <c r="V5" s="76">
        <v>2</v>
      </c>
      <c r="W5" s="4">
        <v>2</v>
      </c>
      <c r="X5" s="4">
        <f>$V$5*W5</f>
        <v>4</v>
      </c>
      <c r="Y5" s="76">
        <v>8</v>
      </c>
      <c r="Z5" s="4">
        <v>2</v>
      </c>
      <c r="AA5" s="4">
        <f>$Y$5*Z5</f>
        <v>16</v>
      </c>
      <c r="AB5" s="76">
        <v>18</v>
      </c>
      <c r="AC5" s="4">
        <v>3</v>
      </c>
      <c r="AD5" s="4">
        <f>$AB$5*AC5</f>
        <v>54</v>
      </c>
      <c r="AF5" s="17" t="s">
        <v>28</v>
      </c>
      <c r="AG5" s="78">
        <v>2</v>
      </c>
      <c r="AH5" s="17">
        <v>2</v>
      </c>
      <c r="AI5" s="17">
        <f>$V$5*AH5</f>
        <v>4</v>
      </c>
      <c r="AJ5" s="78">
        <v>8</v>
      </c>
      <c r="AK5" s="17">
        <v>2</v>
      </c>
      <c r="AL5" s="17">
        <f>$Y$5*AK5</f>
        <v>16</v>
      </c>
      <c r="AM5" s="78">
        <v>18</v>
      </c>
      <c r="AN5" s="17">
        <v>3</v>
      </c>
      <c r="AO5" s="17">
        <f>$AB$5*AN5</f>
        <v>54</v>
      </c>
    </row>
    <row r="6" spans="1:41" x14ac:dyDescent="0.2">
      <c r="A6" s="72" t="s">
        <v>15</v>
      </c>
      <c r="B6" s="76">
        <v>100</v>
      </c>
      <c r="C6" s="76">
        <v>200</v>
      </c>
      <c r="D6" s="76">
        <f>B6*C6</f>
        <v>20000</v>
      </c>
      <c r="E6" s="5">
        <v>3275</v>
      </c>
      <c r="F6" s="3">
        <f>2*2*4*1</f>
        <v>16</v>
      </c>
      <c r="G6" s="7">
        <f>F6*E6/1000</f>
        <v>52.4</v>
      </c>
      <c r="H6" s="92"/>
      <c r="I6" s="2"/>
      <c r="J6" s="83" t="s">
        <v>15</v>
      </c>
      <c r="K6" s="83">
        <v>100</v>
      </c>
      <c r="L6" s="83">
        <v>200</v>
      </c>
      <c r="M6" s="83">
        <f>K6*L6</f>
        <v>20000</v>
      </c>
      <c r="N6" s="16">
        <v>3275</v>
      </c>
      <c r="O6" s="15">
        <f>2*2*4*1</f>
        <v>16</v>
      </c>
      <c r="P6" s="14">
        <f>O6*N6/1000</f>
        <v>52.4</v>
      </c>
      <c r="Q6" s="88"/>
      <c r="S6" s="21"/>
      <c r="U6" s="6" t="s">
        <v>35</v>
      </c>
      <c r="V6" s="76"/>
      <c r="W6" s="4">
        <v>2</v>
      </c>
      <c r="X6" s="4">
        <f t="shared" ref="X6:X7" si="0">$V$5*W6</f>
        <v>4</v>
      </c>
      <c r="Y6" s="76"/>
      <c r="Z6" s="4">
        <v>2</v>
      </c>
      <c r="AA6" s="4">
        <f t="shared" ref="AA6:AA7" si="1">$Y$5*Z6</f>
        <v>16</v>
      </c>
      <c r="AB6" s="76"/>
      <c r="AC6" s="4">
        <v>2</v>
      </c>
      <c r="AD6" s="4">
        <f t="shared" ref="AD6:AD7" si="2">$AB$5*AC6</f>
        <v>36</v>
      </c>
      <c r="AF6" s="17" t="s">
        <v>35</v>
      </c>
      <c r="AG6" s="78"/>
      <c r="AH6" s="17">
        <v>2</v>
      </c>
      <c r="AI6" s="17">
        <f t="shared" ref="AI6:AI7" si="3">$V$5*AH6</f>
        <v>4</v>
      </c>
      <c r="AJ6" s="78"/>
      <c r="AK6" s="17">
        <v>2</v>
      </c>
      <c r="AL6" s="17">
        <f t="shared" ref="AL6:AL7" si="4">$Y$5*AK6</f>
        <v>16</v>
      </c>
      <c r="AM6" s="78"/>
      <c r="AN6" s="17">
        <v>2</v>
      </c>
      <c r="AO6" s="17">
        <f t="shared" ref="AO6:AO7" si="5">$AB$5*AN6</f>
        <v>36</v>
      </c>
    </row>
    <row r="7" spans="1:41" x14ac:dyDescent="0.2">
      <c r="A7" s="72"/>
      <c r="B7" s="76"/>
      <c r="C7" s="76"/>
      <c r="D7" s="76"/>
      <c r="E7" s="5">
        <v>2350</v>
      </c>
      <c r="F7" s="3">
        <f>2*2*4*1</f>
        <v>16</v>
      </c>
      <c r="G7" s="7">
        <f t="shared" ref="G7:G12" si="6">F7*E7/1000</f>
        <v>37.6</v>
      </c>
      <c r="H7" s="93"/>
      <c r="I7" s="2"/>
      <c r="J7" s="83"/>
      <c r="K7" s="83"/>
      <c r="L7" s="83"/>
      <c r="M7" s="83"/>
      <c r="N7" s="16">
        <v>2350</v>
      </c>
      <c r="O7" s="15">
        <f>2*2*4*1</f>
        <v>16</v>
      </c>
      <c r="P7" s="14">
        <f t="shared" ref="P7:P9" si="7">O7*N7/1000</f>
        <v>37.6</v>
      </c>
      <c r="Q7" s="89"/>
      <c r="R7" s="21"/>
      <c r="S7" s="21"/>
      <c r="U7" s="6" t="s">
        <v>36</v>
      </c>
      <c r="V7" s="76"/>
      <c r="W7" s="4">
        <v>2</v>
      </c>
      <c r="X7" s="4">
        <f t="shared" si="0"/>
        <v>4</v>
      </c>
      <c r="Y7" s="76"/>
      <c r="Z7" s="4">
        <v>2</v>
      </c>
      <c r="AA7" s="4">
        <f t="shared" si="1"/>
        <v>16</v>
      </c>
      <c r="AB7" s="76"/>
      <c r="AC7" s="4">
        <v>2</v>
      </c>
      <c r="AD7" s="4">
        <f t="shared" si="2"/>
        <v>36</v>
      </c>
      <c r="AF7" s="17" t="s">
        <v>36</v>
      </c>
      <c r="AG7" s="78"/>
      <c r="AH7" s="17">
        <v>2</v>
      </c>
      <c r="AI7" s="17">
        <f t="shared" si="3"/>
        <v>4</v>
      </c>
      <c r="AJ7" s="78"/>
      <c r="AK7" s="17">
        <v>2</v>
      </c>
      <c r="AL7" s="17">
        <f t="shared" si="4"/>
        <v>16</v>
      </c>
      <c r="AM7" s="78"/>
      <c r="AN7" s="17">
        <v>2</v>
      </c>
      <c r="AO7" s="17">
        <f t="shared" si="5"/>
        <v>36</v>
      </c>
    </row>
    <row r="8" spans="1:41" x14ac:dyDescent="0.2">
      <c r="A8" s="72"/>
      <c r="B8" s="76"/>
      <c r="C8" s="76"/>
      <c r="D8" s="76"/>
      <c r="E8" s="5">
        <v>9450</v>
      </c>
      <c r="F8" s="3">
        <f>2*2*4*2</f>
        <v>32</v>
      </c>
      <c r="G8" s="7">
        <f t="shared" si="6"/>
        <v>302.39999999999998</v>
      </c>
      <c r="H8" s="93"/>
      <c r="I8" s="2"/>
      <c r="J8" s="83"/>
      <c r="K8" s="83"/>
      <c r="L8" s="83"/>
      <c r="M8" s="83"/>
      <c r="N8" s="16">
        <v>9450</v>
      </c>
      <c r="O8" s="15">
        <f>2*2*4*2</f>
        <v>32</v>
      </c>
      <c r="P8" s="14">
        <f t="shared" si="7"/>
        <v>302.39999999999998</v>
      </c>
      <c r="Q8" s="89"/>
      <c r="R8" s="21"/>
      <c r="S8" s="21"/>
      <c r="U8" s="6" t="s">
        <v>17</v>
      </c>
      <c r="V8" s="72">
        <f>SUM(X5:X7)+SUM(AA5:AA7)+SUM(AD5:AD7)</f>
        <v>186</v>
      </c>
      <c r="W8" s="72"/>
      <c r="X8" s="72"/>
      <c r="Y8" s="72"/>
      <c r="Z8" s="72"/>
      <c r="AA8" s="72"/>
      <c r="AB8" s="72"/>
      <c r="AC8" s="72"/>
      <c r="AD8" s="72"/>
      <c r="AF8" s="17" t="s">
        <v>17</v>
      </c>
      <c r="AG8" s="78">
        <f>SUM(AI5:AI7)+SUM(AL5:AL7)+SUM(AO5:AO7)</f>
        <v>186</v>
      </c>
      <c r="AH8" s="78"/>
      <c r="AI8" s="78"/>
      <c r="AJ8" s="78"/>
      <c r="AK8" s="78"/>
      <c r="AL8" s="78"/>
      <c r="AM8" s="78"/>
      <c r="AN8" s="78"/>
      <c r="AO8" s="78"/>
    </row>
    <row r="9" spans="1:41" x14ac:dyDescent="0.2">
      <c r="A9" s="72"/>
      <c r="B9" s="76"/>
      <c r="C9" s="76"/>
      <c r="D9" s="76"/>
      <c r="E9" s="5">
        <v>7450</v>
      </c>
      <c r="F9" s="3">
        <f>2*2*4*1.5</f>
        <v>24</v>
      </c>
      <c r="G9" s="7">
        <f t="shared" si="6"/>
        <v>178.8</v>
      </c>
      <c r="H9" s="94"/>
      <c r="I9" s="2"/>
      <c r="J9" s="83"/>
      <c r="K9" s="83"/>
      <c r="L9" s="83"/>
      <c r="M9" s="83"/>
      <c r="N9" s="16">
        <v>7450</v>
      </c>
      <c r="O9" s="15">
        <f>2*2*4*1.5</f>
        <v>24</v>
      </c>
      <c r="P9" s="14">
        <f t="shared" si="7"/>
        <v>178.8</v>
      </c>
      <c r="Q9" s="90"/>
      <c r="R9" s="21"/>
      <c r="S9" s="21"/>
    </row>
    <row r="10" spans="1:41" x14ac:dyDescent="0.2">
      <c r="A10" s="72"/>
      <c r="B10" s="76" t="s">
        <v>17</v>
      </c>
      <c r="C10" s="76"/>
      <c r="D10" s="76"/>
      <c r="E10" s="76"/>
      <c r="F10" s="76"/>
      <c r="G10" s="8">
        <f>SUM(G6:G9)</f>
        <v>571.20000000000005</v>
      </c>
      <c r="H10" s="7">
        <f>G10*D6/1000000</f>
        <v>11.423999999999999</v>
      </c>
      <c r="I10" s="2"/>
      <c r="J10" s="83"/>
      <c r="K10" s="83" t="s">
        <v>17</v>
      </c>
      <c r="L10" s="83"/>
      <c r="M10" s="83"/>
      <c r="N10" s="83"/>
      <c r="O10" s="83"/>
      <c r="P10" s="14">
        <f>SUM(P6:P9)</f>
        <v>571.20000000000005</v>
      </c>
      <c r="Q10" s="14">
        <f>P10*M6/1000000</f>
        <v>11.423999999999999</v>
      </c>
      <c r="R10" s="22">
        <f>2*(K6+L6)*P10/1000</f>
        <v>342.72</v>
      </c>
      <c r="S10" s="23"/>
    </row>
    <row r="11" spans="1:41" x14ac:dyDescent="0.2">
      <c r="A11" s="6" t="s">
        <v>0</v>
      </c>
      <c r="B11" s="3">
        <v>50</v>
      </c>
      <c r="C11" s="3">
        <v>200</v>
      </c>
      <c r="D11" s="3">
        <f t="shared" ref="D11" si="8">B11*C11</f>
        <v>10000</v>
      </c>
      <c r="E11" s="3">
        <v>1550</v>
      </c>
      <c r="F11" s="3">
        <f>2*2*2*28</f>
        <v>224</v>
      </c>
      <c r="G11" s="37">
        <f t="shared" si="6"/>
        <v>347.2</v>
      </c>
      <c r="H11" s="7">
        <f>G11*D11/1000000</f>
        <v>3.472</v>
      </c>
      <c r="I11" s="2"/>
      <c r="J11" s="15" t="s">
        <v>0</v>
      </c>
      <c r="K11" s="15">
        <v>50</v>
      </c>
      <c r="L11" s="15">
        <v>200</v>
      </c>
      <c r="M11" s="15">
        <f t="shared" ref="M11" si="9">K11*L11</f>
        <v>10000</v>
      </c>
      <c r="N11" s="15">
        <v>1550</v>
      </c>
      <c r="O11" s="15">
        <f>2*2*2*28</f>
        <v>224</v>
      </c>
      <c r="P11" s="14">
        <f t="shared" ref="P11:P17" si="10">O11*N11/1000</f>
        <v>347.2</v>
      </c>
      <c r="Q11" s="14">
        <f>P11*M11/1000000</f>
        <v>3.472</v>
      </c>
      <c r="R11" s="22">
        <f>2*(K11+L11)*P11/1000</f>
        <v>173.6</v>
      </c>
      <c r="S11" s="23"/>
      <c r="U11" s="1" t="s">
        <v>88</v>
      </c>
    </row>
    <row r="12" spans="1:41" x14ac:dyDescent="0.2">
      <c r="A12" s="73" t="s">
        <v>1</v>
      </c>
      <c r="B12" s="3">
        <v>80</v>
      </c>
      <c r="C12" s="3">
        <v>200</v>
      </c>
      <c r="D12" s="3">
        <f>B12*C12</f>
        <v>16000</v>
      </c>
      <c r="E12" s="3">
        <v>2400</v>
      </c>
      <c r="F12" s="3">
        <f>2*2*2*22</f>
        <v>176</v>
      </c>
      <c r="G12" s="37">
        <f t="shared" si="6"/>
        <v>422.4</v>
      </c>
      <c r="H12" s="70"/>
      <c r="I12" s="2">
        <f t="shared" ref="I12:I13" si="11">G12*D12/1000000</f>
        <v>6.7584</v>
      </c>
      <c r="J12" s="83" t="s">
        <v>1</v>
      </c>
      <c r="K12" s="15">
        <v>80</v>
      </c>
      <c r="L12" s="15">
        <v>200</v>
      </c>
      <c r="M12" s="15">
        <f>K12*L12</f>
        <v>16000</v>
      </c>
      <c r="N12" s="15">
        <v>2400</v>
      </c>
      <c r="O12" s="15">
        <f>2*2*2*22</f>
        <v>176</v>
      </c>
      <c r="P12" s="14">
        <f t="shared" si="10"/>
        <v>422.4</v>
      </c>
      <c r="Q12" s="14">
        <f t="shared" ref="Q12:Q16" si="12">P12*M12/1000000</f>
        <v>6.7584</v>
      </c>
      <c r="R12" s="22">
        <f t="shared" ref="R12:R16" si="13">2*(K12+L12)*P12/1000</f>
        <v>236.54400000000001</v>
      </c>
      <c r="S12" s="23"/>
    </row>
    <row r="13" spans="1:41" x14ac:dyDescent="0.2">
      <c r="A13" s="74"/>
      <c r="B13" s="3">
        <v>40</v>
      </c>
      <c r="C13" s="3">
        <v>200</v>
      </c>
      <c r="D13" s="3">
        <f>B13*C13</f>
        <v>8000</v>
      </c>
      <c r="E13" s="3">
        <v>2400</v>
      </c>
      <c r="F13" s="3">
        <f>2*2*22</f>
        <v>88</v>
      </c>
      <c r="G13" s="37">
        <f t="shared" ref="G13" si="14">F13*E13/1000</f>
        <v>211.2</v>
      </c>
      <c r="H13" s="71"/>
      <c r="I13" s="2">
        <f t="shared" si="11"/>
        <v>1.6896</v>
      </c>
      <c r="J13" s="83"/>
      <c r="K13" s="15">
        <v>40</v>
      </c>
      <c r="L13" s="15">
        <v>200</v>
      </c>
      <c r="M13" s="15">
        <f>K13*L13</f>
        <v>8000</v>
      </c>
      <c r="N13" s="15">
        <v>2400</v>
      </c>
      <c r="O13" s="15">
        <f>2*2*22</f>
        <v>88</v>
      </c>
      <c r="P13" s="14">
        <f t="shared" si="10"/>
        <v>211.2</v>
      </c>
      <c r="Q13" s="14">
        <f t="shared" si="12"/>
        <v>1.6896</v>
      </c>
      <c r="R13" s="22">
        <f t="shared" si="13"/>
        <v>101.376</v>
      </c>
      <c r="S13" s="23"/>
    </row>
    <row r="14" spans="1:41" x14ac:dyDescent="0.2">
      <c r="A14" s="75"/>
      <c r="B14" s="35"/>
      <c r="C14" s="35"/>
      <c r="D14" s="35"/>
      <c r="E14" s="35"/>
      <c r="F14" s="35"/>
      <c r="G14" s="8">
        <f>SUM(G11:G13)</f>
        <v>980.8</v>
      </c>
      <c r="H14" s="40">
        <f>SUM(I12:I13)</f>
        <v>8.4480000000000004</v>
      </c>
      <c r="I14" s="2"/>
      <c r="J14" s="39"/>
      <c r="K14" s="39"/>
      <c r="L14" s="39"/>
      <c r="M14" s="39"/>
      <c r="N14" s="39"/>
      <c r="O14" s="39"/>
      <c r="P14" s="38"/>
      <c r="Q14" s="38"/>
      <c r="R14" s="22"/>
      <c r="S14" s="23"/>
    </row>
    <row r="15" spans="1:41" x14ac:dyDescent="0.2">
      <c r="A15" s="6" t="s">
        <v>20</v>
      </c>
      <c r="B15" s="3">
        <v>100</v>
      </c>
      <c r="C15" s="3">
        <v>200</v>
      </c>
      <c r="D15" s="3">
        <f>B15*C15</f>
        <v>20000</v>
      </c>
      <c r="E15" s="3">
        <v>4640</v>
      </c>
      <c r="F15" s="3">
        <f>2*31</f>
        <v>62</v>
      </c>
      <c r="G15" s="8">
        <f t="shared" ref="G15" si="15">F15*E15/1000</f>
        <v>287.68</v>
      </c>
      <c r="H15" s="7">
        <f t="shared" ref="H15" si="16">G15*D15/1000000</f>
        <v>5.7535999999999996</v>
      </c>
      <c r="I15" s="2"/>
      <c r="J15" s="15" t="s">
        <v>20</v>
      </c>
      <c r="K15" s="15">
        <v>100</v>
      </c>
      <c r="L15" s="15">
        <v>200</v>
      </c>
      <c r="M15" s="15">
        <f>K15*L15</f>
        <v>20000</v>
      </c>
      <c r="N15" s="15">
        <v>4640</v>
      </c>
      <c r="O15" s="15">
        <f>2*31</f>
        <v>62</v>
      </c>
      <c r="P15" s="14">
        <f t="shared" si="10"/>
        <v>287.68</v>
      </c>
      <c r="Q15" s="14">
        <f t="shared" si="12"/>
        <v>5.7535999999999996</v>
      </c>
      <c r="R15" s="22">
        <f t="shared" si="13"/>
        <v>172.608</v>
      </c>
      <c r="S15" s="23"/>
    </row>
    <row r="16" spans="1:41" x14ac:dyDescent="0.2">
      <c r="A16" s="6" t="s">
        <v>22</v>
      </c>
      <c r="B16" s="3">
        <v>100</v>
      </c>
      <c r="C16" s="3">
        <v>100</v>
      </c>
      <c r="D16" s="3">
        <f>B16*C16</f>
        <v>10000</v>
      </c>
      <c r="E16" s="3">
        <v>1300</v>
      </c>
      <c r="F16" s="3">
        <f>2*2*31</f>
        <v>124</v>
      </c>
      <c r="G16" s="8">
        <f t="shared" ref="G16" si="17">F16*E16/1000</f>
        <v>161.19999999999999</v>
      </c>
      <c r="H16" s="7">
        <f t="shared" ref="H16" si="18">G16*D16/1000000</f>
        <v>1.6120000000000001</v>
      </c>
      <c r="I16" s="2"/>
      <c r="J16" s="15" t="s">
        <v>22</v>
      </c>
      <c r="K16" s="15">
        <v>100</v>
      </c>
      <c r="L16" s="15">
        <v>100</v>
      </c>
      <c r="M16" s="15">
        <f>K16*L16</f>
        <v>10000</v>
      </c>
      <c r="N16" s="15">
        <v>1300</v>
      </c>
      <c r="O16" s="15">
        <f>2*2*31</f>
        <v>124</v>
      </c>
      <c r="P16" s="14">
        <f t="shared" si="10"/>
        <v>161.19999999999999</v>
      </c>
      <c r="Q16" s="14">
        <f t="shared" si="12"/>
        <v>1.6120000000000001</v>
      </c>
      <c r="R16" s="22">
        <f t="shared" si="13"/>
        <v>64.47999999999999</v>
      </c>
      <c r="S16" s="23"/>
    </row>
    <row r="17" spans="1:19" x14ac:dyDescent="0.2">
      <c r="A17" s="72" t="s">
        <v>21</v>
      </c>
      <c r="B17" s="76">
        <v>50</v>
      </c>
      <c r="C17" s="76">
        <v>200</v>
      </c>
      <c r="D17" s="76">
        <f>B17*C17</f>
        <v>10000</v>
      </c>
      <c r="E17" s="3">
        <v>3770</v>
      </c>
      <c r="F17" s="3">
        <f>2*10</f>
        <v>20</v>
      </c>
      <c r="G17" s="9">
        <f t="shared" ref="G17" si="19">F17*E17/1000</f>
        <v>75.400000000000006</v>
      </c>
      <c r="H17" s="91"/>
      <c r="I17" s="2"/>
      <c r="J17" s="83" t="s">
        <v>21</v>
      </c>
      <c r="K17" s="83">
        <v>50</v>
      </c>
      <c r="L17" s="83">
        <v>200</v>
      </c>
      <c r="M17" s="83">
        <f>K17*L17</f>
        <v>10000</v>
      </c>
      <c r="N17" s="15">
        <v>3770</v>
      </c>
      <c r="O17" s="15">
        <f>2*10</f>
        <v>20</v>
      </c>
      <c r="P17" s="14">
        <f t="shared" si="10"/>
        <v>75.400000000000006</v>
      </c>
      <c r="Q17" s="82"/>
      <c r="R17" s="22"/>
      <c r="S17" s="23"/>
    </row>
    <row r="18" spans="1:19" x14ac:dyDescent="0.2">
      <c r="A18" s="72"/>
      <c r="B18" s="76"/>
      <c r="C18" s="76"/>
      <c r="D18" s="76"/>
      <c r="E18" s="3">
        <v>3940</v>
      </c>
      <c r="F18" s="3">
        <v>2</v>
      </c>
      <c r="G18" s="9">
        <f>F18*E18/1000</f>
        <v>7.88</v>
      </c>
      <c r="H18" s="91"/>
      <c r="I18" s="2"/>
      <c r="J18" s="83"/>
      <c r="K18" s="83"/>
      <c r="L18" s="83"/>
      <c r="M18" s="83"/>
      <c r="N18" s="15">
        <v>3940</v>
      </c>
      <c r="O18" s="15">
        <v>2</v>
      </c>
      <c r="P18" s="14">
        <f>O18*N18/1000</f>
        <v>7.88</v>
      </c>
      <c r="Q18" s="82"/>
      <c r="R18" s="22"/>
      <c r="S18" s="23"/>
    </row>
    <row r="19" spans="1:19" x14ac:dyDescent="0.2">
      <c r="A19" s="72"/>
      <c r="B19" s="76"/>
      <c r="C19" s="76"/>
      <c r="D19" s="76"/>
      <c r="E19" s="3">
        <v>5020</v>
      </c>
      <c r="F19" s="3">
        <v>2</v>
      </c>
      <c r="G19" s="9">
        <f>F19*E19/1000</f>
        <v>10.039999999999999</v>
      </c>
      <c r="H19" s="91"/>
      <c r="I19" s="2"/>
      <c r="J19" s="83"/>
      <c r="K19" s="83"/>
      <c r="L19" s="83"/>
      <c r="M19" s="83"/>
      <c r="N19" s="15">
        <v>5020</v>
      </c>
      <c r="O19" s="15">
        <v>2</v>
      </c>
      <c r="P19" s="14">
        <f>O19*N19/1000</f>
        <v>10.039999999999999</v>
      </c>
      <c r="Q19" s="82"/>
      <c r="R19" s="22"/>
      <c r="S19" s="23"/>
    </row>
    <row r="20" spans="1:19" x14ac:dyDescent="0.2">
      <c r="A20" s="72"/>
      <c r="B20" s="76" t="s">
        <v>17</v>
      </c>
      <c r="C20" s="76"/>
      <c r="D20" s="76"/>
      <c r="E20" s="76"/>
      <c r="F20" s="76"/>
      <c r="G20" s="8">
        <f>SUM(G17:G19)</f>
        <v>93.32</v>
      </c>
      <c r="H20" s="7">
        <f>G20*D17/1000000</f>
        <v>0.93319999999999992</v>
      </c>
      <c r="I20" s="2"/>
      <c r="J20" s="83"/>
      <c r="K20" s="83" t="s">
        <v>17</v>
      </c>
      <c r="L20" s="83"/>
      <c r="M20" s="83"/>
      <c r="N20" s="83"/>
      <c r="O20" s="83"/>
      <c r="P20" s="14">
        <f>SUM(P17:P19)</f>
        <v>93.32</v>
      </c>
      <c r="Q20" s="14">
        <f>P20*M17/1000000</f>
        <v>0.93319999999999992</v>
      </c>
      <c r="R20" s="22">
        <f>2*(K17+L17)*P20/1000</f>
        <v>46.66</v>
      </c>
      <c r="S20" s="23"/>
    </row>
    <row r="21" spans="1:19" x14ac:dyDescent="0.2">
      <c r="A21" s="6" t="s">
        <v>2</v>
      </c>
      <c r="B21" s="3">
        <v>50</v>
      </c>
      <c r="C21" s="3">
        <v>200</v>
      </c>
      <c r="D21" s="3">
        <f>B21*C21</f>
        <v>10000</v>
      </c>
      <c r="E21" s="3">
        <v>35750</v>
      </c>
      <c r="F21" s="3">
        <f>2*2*7</f>
        <v>28</v>
      </c>
      <c r="G21" s="8">
        <f t="shared" ref="G21:G23" si="20">F21*E21/1000</f>
        <v>1001</v>
      </c>
      <c r="H21" s="7">
        <f>G21*D21/1000000</f>
        <v>10.01</v>
      </c>
      <c r="I21" s="2"/>
      <c r="J21" s="15" t="s">
        <v>2</v>
      </c>
      <c r="K21" s="15">
        <v>50</v>
      </c>
      <c r="L21" s="15">
        <v>200</v>
      </c>
      <c r="M21" s="15">
        <f>K21*L21</f>
        <v>10000</v>
      </c>
      <c r="N21" s="15">
        <v>35750</v>
      </c>
      <c r="O21" s="15">
        <f>2*2*7</f>
        <v>28</v>
      </c>
      <c r="P21" s="14">
        <f t="shared" ref="P21:P23" si="21">O21*N21/1000</f>
        <v>1001</v>
      </c>
      <c r="Q21" s="14">
        <f>P21*M21/1000000</f>
        <v>10.01</v>
      </c>
      <c r="R21" s="22">
        <f>2*(K21+L21)*P21/1000</f>
        <v>500.5</v>
      </c>
      <c r="S21" s="23"/>
    </row>
    <row r="22" spans="1:19" x14ac:dyDescent="0.2">
      <c r="A22" s="12" t="s">
        <v>51</v>
      </c>
      <c r="B22" s="11">
        <v>20</v>
      </c>
      <c r="C22" s="11">
        <v>150</v>
      </c>
      <c r="D22" s="11">
        <f t="shared" ref="D22:D23" si="22">B22*C22</f>
        <v>3000</v>
      </c>
      <c r="E22" s="11">
        <f>E21*2</f>
        <v>71500</v>
      </c>
      <c r="F22" s="11">
        <f>2*2</f>
        <v>4</v>
      </c>
      <c r="G22" s="8">
        <f t="shared" si="20"/>
        <v>286</v>
      </c>
      <c r="H22" s="13">
        <f>G22*D22/1000000</f>
        <v>0.85799999999999998</v>
      </c>
      <c r="I22" s="2"/>
      <c r="J22" s="17" t="s">
        <v>51</v>
      </c>
      <c r="K22" s="17">
        <v>20</v>
      </c>
      <c r="L22" s="17">
        <v>150</v>
      </c>
      <c r="M22" s="17">
        <f t="shared" ref="M22:M23" si="23">K22*L22</f>
        <v>3000</v>
      </c>
      <c r="N22" s="17">
        <f>N21*2</f>
        <v>71500</v>
      </c>
      <c r="O22" s="17">
        <f>2*2</f>
        <v>4</v>
      </c>
      <c r="P22" s="19">
        <f t="shared" si="21"/>
        <v>286</v>
      </c>
      <c r="Q22" s="19">
        <f>P22*M22/1000000</f>
        <v>0.85799999999999998</v>
      </c>
      <c r="R22" s="22">
        <f t="shared" ref="R22:R23" si="24">2*(K22+L22)*P22/1000</f>
        <v>97.24</v>
      </c>
      <c r="S22" s="27"/>
    </row>
    <row r="23" spans="1:19" x14ac:dyDescent="0.2">
      <c r="A23" s="12" t="s">
        <v>52</v>
      </c>
      <c r="B23" s="11">
        <v>10</v>
      </c>
      <c r="C23" s="11">
        <f>250*4</f>
        <v>1000</v>
      </c>
      <c r="D23" s="11">
        <f t="shared" si="22"/>
        <v>10000</v>
      </c>
      <c r="E23" s="11">
        <f>E22</f>
        <v>71500</v>
      </c>
      <c r="F23" s="11">
        <v>2</v>
      </c>
      <c r="G23" s="8">
        <f t="shared" si="20"/>
        <v>143</v>
      </c>
      <c r="H23" s="13">
        <f>G23*D23/1000000</f>
        <v>1.43</v>
      </c>
      <c r="I23" s="2"/>
      <c r="J23" s="17" t="s">
        <v>52</v>
      </c>
      <c r="K23" s="17">
        <v>10</v>
      </c>
      <c r="L23" s="17">
        <f>250*4</f>
        <v>1000</v>
      </c>
      <c r="M23" s="17">
        <f t="shared" si="23"/>
        <v>10000</v>
      </c>
      <c r="N23" s="17">
        <f>N22</f>
        <v>71500</v>
      </c>
      <c r="O23" s="17">
        <v>2</v>
      </c>
      <c r="P23" s="19">
        <f t="shared" si="21"/>
        <v>143</v>
      </c>
      <c r="Q23" s="19">
        <f>P23*M23/1000000</f>
        <v>1.43</v>
      </c>
      <c r="R23" s="22">
        <f t="shared" si="24"/>
        <v>288.86</v>
      </c>
      <c r="S23" s="27"/>
    </row>
    <row r="24" spans="1:19" x14ac:dyDescent="0.2">
      <c r="A24" s="72" t="s">
        <v>17</v>
      </c>
      <c r="B24" s="72"/>
      <c r="C24" s="72"/>
      <c r="D24" s="72"/>
      <c r="E24" s="72"/>
      <c r="F24" s="72"/>
      <c r="G24" s="72"/>
      <c r="H24" s="8">
        <f>SUM(H6:H23)</f>
        <v>43.940799999999996</v>
      </c>
      <c r="I24" s="2"/>
      <c r="J24" s="83" t="s">
        <v>17</v>
      </c>
      <c r="K24" s="83"/>
      <c r="L24" s="83"/>
      <c r="M24" s="83"/>
      <c r="N24" s="83"/>
      <c r="O24" s="83"/>
      <c r="P24" s="83"/>
      <c r="Q24" s="14">
        <f>SUM(Q6:Q23)</f>
        <v>43.940799999999989</v>
      </c>
      <c r="R24" s="22">
        <f>SUM(R6:R23)</f>
        <v>2024.5880000000002</v>
      </c>
      <c r="S24" s="23"/>
    </row>
    <row r="25" spans="1:19" x14ac:dyDescent="0.2">
      <c r="A25" s="2"/>
      <c r="B25" s="2"/>
      <c r="C25" s="2"/>
      <c r="D25" s="2"/>
      <c r="E25" s="2"/>
      <c r="F25" s="2"/>
      <c r="G25" s="2"/>
      <c r="I25" s="2"/>
      <c r="J25" s="2"/>
    </row>
    <row r="26" spans="1:19" x14ac:dyDescent="0.2">
      <c r="B26" s="2"/>
      <c r="C26" s="2"/>
      <c r="D26" s="2"/>
      <c r="E26" s="2"/>
      <c r="F26" s="2"/>
      <c r="G26" s="2"/>
      <c r="I26" s="2"/>
      <c r="J26" s="2"/>
    </row>
    <row r="27" spans="1:19" x14ac:dyDescent="0.2">
      <c r="A27" s="85" t="s">
        <v>23</v>
      </c>
      <c r="B27" s="85"/>
      <c r="C27" s="85"/>
      <c r="D27" s="85"/>
      <c r="E27" s="85"/>
      <c r="F27" s="85"/>
      <c r="G27" s="85"/>
      <c r="H27" s="85"/>
      <c r="I27" s="2"/>
      <c r="J27" s="87" t="s">
        <v>23</v>
      </c>
      <c r="K27" s="87"/>
      <c r="L27" s="87"/>
      <c r="M27" s="87"/>
      <c r="N27" s="87"/>
      <c r="O27" s="87"/>
      <c r="P27" s="87"/>
      <c r="Q27" s="87"/>
      <c r="R27" s="47"/>
      <c r="S27" s="47"/>
    </row>
    <row r="28" spans="1:19" x14ac:dyDescent="0.2">
      <c r="A28" s="72"/>
      <c r="B28" s="72" t="s">
        <v>6</v>
      </c>
      <c r="C28" s="72"/>
      <c r="D28" s="72"/>
      <c r="E28" s="72" t="s">
        <v>11</v>
      </c>
      <c r="F28" s="72"/>
      <c r="G28" s="72"/>
      <c r="H28" s="72"/>
      <c r="I28" s="2"/>
      <c r="J28" s="83"/>
      <c r="K28" s="83" t="s">
        <v>6</v>
      </c>
      <c r="L28" s="83"/>
      <c r="M28" s="83"/>
      <c r="N28" s="83" t="s">
        <v>11</v>
      </c>
      <c r="O28" s="83"/>
      <c r="P28" s="83"/>
      <c r="Q28" s="83"/>
      <c r="R28" s="21"/>
      <c r="S28" s="21"/>
    </row>
    <row r="29" spans="1:19" x14ac:dyDescent="0.2">
      <c r="A29" s="72"/>
      <c r="B29" s="6" t="s">
        <v>3</v>
      </c>
      <c r="C29" s="6" t="s">
        <v>4</v>
      </c>
      <c r="D29" s="6" t="s">
        <v>5</v>
      </c>
      <c r="E29" s="6" t="s">
        <v>12</v>
      </c>
      <c r="F29" s="6" t="s">
        <v>13</v>
      </c>
      <c r="G29" s="6" t="s">
        <v>16</v>
      </c>
      <c r="H29" s="6" t="s">
        <v>18</v>
      </c>
      <c r="I29" s="2"/>
      <c r="J29" s="83"/>
      <c r="K29" s="15" t="s">
        <v>3</v>
      </c>
      <c r="L29" s="15" t="s">
        <v>4</v>
      </c>
      <c r="M29" s="15" t="s">
        <v>5</v>
      </c>
      <c r="N29" s="15" t="s">
        <v>12</v>
      </c>
      <c r="O29" s="15" t="s">
        <v>13</v>
      </c>
      <c r="P29" s="15" t="s">
        <v>16</v>
      </c>
      <c r="Q29" s="15" t="s">
        <v>18</v>
      </c>
      <c r="R29" s="21" t="s">
        <v>5</v>
      </c>
      <c r="S29" s="21"/>
    </row>
    <row r="30" spans="1:19" ht="18" x14ac:dyDescent="0.2">
      <c r="A30" s="72"/>
      <c r="B30" s="6" t="s">
        <v>9</v>
      </c>
      <c r="C30" s="6" t="s">
        <v>9</v>
      </c>
      <c r="D30" s="6" t="s">
        <v>10</v>
      </c>
      <c r="E30" s="6" t="s">
        <v>9</v>
      </c>
      <c r="F30" s="6" t="s">
        <v>14</v>
      </c>
      <c r="G30" s="6" t="s">
        <v>8</v>
      </c>
      <c r="H30" s="6" t="s">
        <v>19</v>
      </c>
      <c r="I30" s="2"/>
      <c r="J30" s="83"/>
      <c r="K30" s="15" t="s">
        <v>9</v>
      </c>
      <c r="L30" s="15" t="s">
        <v>9</v>
      </c>
      <c r="M30" s="15" t="s">
        <v>25</v>
      </c>
      <c r="N30" s="15" t="s">
        <v>9</v>
      </c>
      <c r="O30" s="15" t="s">
        <v>14</v>
      </c>
      <c r="P30" s="15" t="s">
        <v>8</v>
      </c>
      <c r="Q30" s="15" t="s">
        <v>26</v>
      </c>
      <c r="R30" s="15" t="s">
        <v>68</v>
      </c>
      <c r="S30" s="21"/>
    </row>
    <row r="31" spans="1:19" x14ac:dyDescent="0.2">
      <c r="A31" s="72" t="s">
        <v>15</v>
      </c>
      <c r="B31" s="76">
        <v>100</v>
      </c>
      <c r="C31" s="76">
        <v>200</v>
      </c>
      <c r="D31" s="76">
        <f>B31*C31</f>
        <v>20000</v>
      </c>
      <c r="E31" s="5">
        <v>3275</v>
      </c>
      <c r="F31" s="4">
        <f>2*2*4*1</f>
        <v>16</v>
      </c>
      <c r="G31" s="10">
        <f>F31*E31/1000</f>
        <v>52.4</v>
      </c>
      <c r="H31" s="92"/>
      <c r="I31" s="2"/>
      <c r="J31" s="83" t="s">
        <v>15</v>
      </c>
      <c r="K31" s="83">
        <v>100</v>
      </c>
      <c r="L31" s="83">
        <v>200</v>
      </c>
      <c r="M31" s="83">
        <f>K31*L31</f>
        <v>20000</v>
      </c>
      <c r="N31" s="16">
        <v>3275</v>
      </c>
      <c r="O31" s="15">
        <f>2*2*4*1</f>
        <v>16</v>
      </c>
      <c r="P31" s="14">
        <f>O31*N31/1000</f>
        <v>52.4</v>
      </c>
      <c r="Q31" s="88"/>
      <c r="S31" s="21"/>
    </row>
    <row r="32" spans="1:19" x14ac:dyDescent="0.2">
      <c r="A32" s="72"/>
      <c r="B32" s="76"/>
      <c r="C32" s="76"/>
      <c r="D32" s="76"/>
      <c r="E32" s="5">
        <v>2350</v>
      </c>
      <c r="F32" s="4">
        <f>2*2*4*1</f>
        <v>16</v>
      </c>
      <c r="G32" s="10">
        <f t="shared" ref="G32:G34" si="25">F32*E32/1000</f>
        <v>37.6</v>
      </c>
      <c r="H32" s="93"/>
      <c r="I32" s="2"/>
      <c r="J32" s="83"/>
      <c r="K32" s="83"/>
      <c r="L32" s="83"/>
      <c r="M32" s="83"/>
      <c r="N32" s="16">
        <v>2350</v>
      </c>
      <c r="O32" s="15">
        <f>2*2*4*1</f>
        <v>16</v>
      </c>
      <c r="P32" s="14">
        <f t="shared" ref="P32:P34" si="26">O32*N32/1000</f>
        <v>37.6</v>
      </c>
      <c r="Q32" s="89"/>
      <c r="R32" s="21"/>
      <c r="S32" s="21"/>
    </row>
    <row r="33" spans="1:19" x14ac:dyDescent="0.2">
      <c r="A33" s="72"/>
      <c r="B33" s="76"/>
      <c r="C33" s="76"/>
      <c r="D33" s="76"/>
      <c r="E33" s="5">
        <v>9450</v>
      </c>
      <c r="F33" s="4">
        <f>2*2*3*2</f>
        <v>24</v>
      </c>
      <c r="G33" s="10">
        <f t="shared" si="25"/>
        <v>226.8</v>
      </c>
      <c r="H33" s="93"/>
      <c r="J33" s="83"/>
      <c r="K33" s="83"/>
      <c r="L33" s="83"/>
      <c r="M33" s="83"/>
      <c r="N33" s="16">
        <v>9450</v>
      </c>
      <c r="O33" s="15">
        <f>2*2*3*2</f>
        <v>24</v>
      </c>
      <c r="P33" s="14">
        <f t="shared" si="26"/>
        <v>226.8</v>
      </c>
      <c r="Q33" s="89"/>
      <c r="R33" s="21"/>
      <c r="S33" s="21"/>
    </row>
    <row r="34" spans="1:19" x14ac:dyDescent="0.2">
      <c r="A34" s="72"/>
      <c r="B34" s="76"/>
      <c r="C34" s="76"/>
      <c r="D34" s="76"/>
      <c r="E34" s="5">
        <v>7450</v>
      </c>
      <c r="F34" s="4">
        <f>2*2*4</f>
        <v>16</v>
      </c>
      <c r="G34" s="10">
        <f t="shared" si="25"/>
        <v>119.2</v>
      </c>
      <c r="H34" s="94"/>
      <c r="J34" s="83"/>
      <c r="K34" s="83"/>
      <c r="L34" s="83"/>
      <c r="M34" s="83"/>
      <c r="N34" s="16">
        <v>7450</v>
      </c>
      <c r="O34" s="15">
        <f>2*2*4</f>
        <v>16</v>
      </c>
      <c r="P34" s="14">
        <f t="shared" si="26"/>
        <v>119.2</v>
      </c>
      <c r="Q34" s="90"/>
      <c r="R34" s="21"/>
      <c r="S34" s="21"/>
    </row>
    <row r="35" spans="1:19" x14ac:dyDescent="0.2">
      <c r="A35" s="72"/>
      <c r="B35" s="76" t="s">
        <v>17</v>
      </c>
      <c r="C35" s="76"/>
      <c r="D35" s="76"/>
      <c r="E35" s="76"/>
      <c r="F35" s="76"/>
      <c r="G35" s="8">
        <f>SUM(G31:G34)</f>
        <v>436</v>
      </c>
      <c r="H35" s="10">
        <f>G35*D31/1000000</f>
        <v>8.7200000000000006</v>
      </c>
      <c r="J35" s="83"/>
      <c r="K35" s="83" t="s">
        <v>17</v>
      </c>
      <c r="L35" s="83"/>
      <c r="M35" s="83"/>
      <c r="N35" s="83"/>
      <c r="O35" s="83"/>
      <c r="P35" s="14">
        <f>SUM(P31:P34)</f>
        <v>436</v>
      </c>
      <c r="Q35" s="14">
        <f>P35*M31/1000000</f>
        <v>8.7200000000000006</v>
      </c>
      <c r="R35" s="22">
        <f>2*(K31+L31)*P35/1000</f>
        <v>261.60000000000002</v>
      </c>
      <c r="S35" s="23"/>
    </row>
    <row r="36" spans="1:19" x14ac:dyDescent="0.2">
      <c r="A36" s="6" t="s">
        <v>0</v>
      </c>
      <c r="B36" s="4">
        <v>50</v>
      </c>
      <c r="C36" s="4">
        <v>200</v>
      </c>
      <c r="D36" s="4">
        <f t="shared" ref="D36" si="27">B36*C36</f>
        <v>10000</v>
      </c>
      <c r="E36" s="4">
        <v>1550</v>
      </c>
      <c r="F36" s="4">
        <f>2*2*(2*21+1)</f>
        <v>172</v>
      </c>
      <c r="G36" s="8">
        <f t="shared" ref="G36:G42" si="28">F36*E36/1000</f>
        <v>266.60000000000002</v>
      </c>
      <c r="H36" s="10">
        <f>G36*D36/1000000</f>
        <v>2.6659999999999999</v>
      </c>
      <c r="J36" s="15" t="s">
        <v>0</v>
      </c>
      <c r="K36" s="15">
        <v>50</v>
      </c>
      <c r="L36" s="15">
        <v>200</v>
      </c>
      <c r="M36" s="15">
        <f t="shared" ref="M36" si="29">K36*L36</f>
        <v>10000</v>
      </c>
      <c r="N36" s="15">
        <v>1550</v>
      </c>
      <c r="O36" s="15">
        <f>2*2*(2*21+1)</f>
        <v>172</v>
      </c>
      <c r="P36" s="14">
        <f t="shared" ref="P36:P42" si="30">O36*N36/1000</f>
        <v>266.60000000000002</v>
      </c>
      <c r="Q36" s="14">
        <f>P36*M36/1000000</f>
        <v>2.6659999999999999</v>
      </c>
      <c r="R36" s="22">
        <f>2*(K36+L36)*P36/1000</f>
        <v>133.30000000000001</v>
      </c>
      <c r="S36" s="23"/>
    </row>
    <row r="37" spans="1:19" x14ac:dyDescent="0.2">
      <c r="A37" s="72" t="s">
        <v>1</v>
      </c>
      <c r="B37" s="4">
        <v>80</v>
      </c>
      <c r="C37" s="4">
        <v>200</v>
      </c>
      <c r="D37" s="4">
        <f>B37*C37</f>
        <v>16000</v>
      </c>
      <c r="E37" s="4">
        <v>2400</v>
      </c>
      <c r="F37" s="4">
        <f>2*2*(2*16+1)</f>
        <v>132</v>
      </c>
      <c r="G37" s="8">
        <f t="shared" si="28"/>
        <v>316.8</v>
      </c>
      <c r="H37" s="70"/>
      <c r="I37" s="2">
        <f t="shared" ref="I37:I38" si="31">G37*D37/1000000</f>
        <v>5.0688000000000004</v>
      </c>
      <c r="J37" s="83" t="s">
        <v>1</v>
      </c>
      <c r="K37" s="15">
        <v>80</v>
      </c>
      <c r="L37" s="15">
        <v>200</v>
      </c>
      <c r="M37" s="15">
        <f>K37*L37</f>
        <v>16000</v>
      </c>
      <c r="N37" s="15">
        <v>2400</v>
      </c>
      <c r="O37" s="15">
        <f>2*2*(2*16+1)</f>
        <v>132</v>
      </c>
      <c r="P37" s="14">
        <f t="shared" si="30"/>
        <v>316.8</v>
      </c>
      <c r="Q37" s="14">
        <f t="shared" ref="Q37:Q41" si="32">P37*M37/1000000</f>
        <v>5.0688000000000004</v>
      </c>
      <c r="R37" s="22">
        <f t="shared" ref="R37:R41" si="33">2*(K37+L37)*P37/1000</f>
        <v>177.40799999999999</v>
      </c>
      <c r="S37" s="23"/>
    </row>
    <row r="38" spans="1:19" x14ac:dyDescent="0.2">
      <c r="A38" s="72"/>
      <c r="B38" s="4">
        <v>40</v>
      </c>
      <c r="C38" s="4">
        <v>200</v>
      </c>
      <c r="D38" s="4">
        <f>B38*C38</f>
        <v>8000</v>
      </c>
      <c r="E38" s="4">
        <v>2400</v>
      </c>
      <c r="F38" s="4">
        <f>2*(2*16+1)</f>
        <v>66</v>
      </c>
      <c r="G38" s="8">
        <f t="shared" si="28"/>
        <v>158.4</v>
      </c>
      <c r="H38" s="71"/>
      <c r="I38" s="2">
        <f t="shared" si="31"/>
        <v>1.2672000000000001</v>
      </c>
      <c r="J38" s="83"/>
      <c r="K38" s="15">
        <v>40</v>
      </c>
      <c r="L38" s="15">
        <v>200</v>
      </c>
      <c r="M38" s="15">
        <f>K38*L38</f>
        <v>8000</v>
      </c>
      <c r="N38" s="15">
        <v>2400</v>
      </c>
      <c r="O38" s="15">
        <f>2*(2*16+1)</f>
        <v>66</v>
      </c>
      <c r="P38" s="14">
        <f t="shared" si="30"/>
        <v>158.4</v>
      </c>
      <c r="Q38" s="14">
        <f t="shared" si="32"/>
        <v>1.2672000000000001</v>
      </c>
      <c r="R38" s="22">
        <f t="shared" si="33"/>
        <v>76.031999999999996</v>
      </c>
      <c r="S38" s="23"/>
    </row>
    <row r="39" spans="1:19" x14ac:dyDescent="0.2">
      <c r="A39" s="34"/>
      <c r="B39" s="35"/>
      <c r="C39" s="35"/>
      <c r="D39" s="35"/>
      <c r="E39" s="35"/>
      <c r="F39" s="35"/>
      <c r="G39" s="8"/>
      <c r="H39" s="40">
        <f>SUM(I37:I38)</f>
        <v>6.3360000000000003</v>
      </c>
      <c r="I39" s="2"/>
      <c r="J39" s="39"/>
      <c r="K39" s="39"/>
      <c r="L39" s="39"/>
      <c r="M39" s="39"/>
      <c r="N39" s="39"/>
      <c r="O39" s="39"/>
      <c r="P39" s="38"/>
      <c r="Q39" s="38"/>
      <c r="R39" s="22"/>
      <c r="S39" s="23"/>
    </row>
    <row r="40" spans="1:19" x14ac:dyDescent="0.2">
      <c r="A40" s="6" t="s">
        <v>20</v>
      </c>
      <c r="B40" s="4">
        <v>100</v>
      </c>
      <c r="C40" s="4">
        <v>200</v>
      </c>
      <c r="D40" s="4">
        <f>B40*C40</f>
        <v>20000</v>
      </c>
      <c r="E40" s="4">
        <v>4640</v>
      </c>
      <c r="F40" s="4">
        <f>2*24</f>
        <v>48</v>
      </c>
      <c r="G40" s="8">
        <f t="shared" si="28"/>
        <v>222.72</v>
      </c>
      <c r="H40" s="10">
        <f t="shared" ref="H40:H41" si="34">G40*D40/1000000</f>
        <v>4.4543999999999997</v>
      </c>
      <c r="J40" s="15" t="s">
        <v>20</v>
      </c>
      <c r="K40" s="15">
        <v>100</v>
      </c>
      <c r="L40" s="15">
        <v>200</v>
      </c>
      <c r="M40" s="15">
        <f>K40*L40</f>
        <v>20000</v>
      </c>
      <c r="N40" s="15">
        <v>4640</v>
      </c>
      <c r="O40" s="15">
        <f>2*24</f>
        <v>48</v>
      </c>
      <c r="P40" s="14">
        <f t="shared" si="30"/>
        <v>222.72</v>
      </c>
      <c r="Q40" s="14">
        <f t="shared" si="32"/>
        <v>4.4543999999999997</v>
      </c>
      <c r="R40" s="22">
        <f t="shared" si="33"/>
        <v>133.63200000000001</v>
      </c>
      <c r="S40" s="23"/>
    </row>
    <row r="41" spans="1:19" x14ac:dyDescent="0.2">
      <c r="A41" s="6" t="s">
        <v>22</v>
      </c>
      <c r="B41" s="4">
        <v>100</v>
      </c>
      <c r="C41" s="4">
        <v>100</v>
      </c>
      <c r="D41" s="4">
        <f>B41*C41</f>
        <v>10000</v>
      </c>
      <c r="E41" s="4">
        <v>1300</v>
      </c>
      <c r="F41" s="4">
        <f>2*2*24</f>
        <v>96</v>
      </c>
      <c r="G41" s="8">
        <f t="shared" si="28"/>
        <v>124.8</v>
      </c>
      <c r="H41" s="10">
        <f t="shared" si="34"/>
        <v>1.248</v>
      </c>
      <c r="J41" s="15" t="s">
        <v>22</v>
      </c>
      <c r="K41" s="15">
        <v>100</v>
      </c>
      <c r="L41" s="15">
        <v>100</v>
      </c>
      <c r="M41" s="15">
        <f>K41*L41</f>
        <v>10000</v>
      </c>
      <c r="N41" s="15">
        <v>1300</v>
      </c>
      <c r="O41" s="15">
        <f>2*2*24</f>
        <v>96</v>
      </c>
      <c r="P41" s="14">
        <f t="shared" si="30"/>
        <v>124.8</v>
      </c>
      <c r="Q41" s="14">
        <f t="shared" si="32"/>
        <v>1.248</v>
      </c>
      <c r="R41" s="22">
        <f t="shared" si="33"/>
        <v>49.92</v>
      </c>
      <c r="S41" s="23"/>
    </row>
    <row r="42" spans="1:19" x14ac:dyDescent="0.2">
      <c r="A42" s="72" t="s">
        <v>21</v>
      </c>
      <c r="B42" s="76">
        <v>50</v>
      </c>
      <c r="C42" s="76">
        <v>200</v>
      </c>
      <c r="D42" s="76">
        <f>B42*C42</f>
        <v>10000</v>
      </c>
      <c r="E42" s="4">
        <v>3770</v>
      </c>
      <c r="F42" s="4">
        <f>2*7</f>
        <v>14</v>
      </c>
      <c r="G42" s="9">
        <f t="shared" si="28"/>
        <v>52.78</v>
      </c>
      <c r="H42" s="91"/>
      <c r="J42" s="83" t="s">
        <v>21</v>
      </c>
      <c r="K42" s="83">
        <v>50</v>
      </c>
      <c r="L42" s="83">
        <v>200</v>
      </c>
      <c r="M42" s="83">
        <f>K42*L42</f>
        <v>10000</v>
      </c>
      <c r="N42" s="15">
        <v>3770</v>
      </c>
      <c r="O42" s="15">
        <f>2*7</f>
        <v>14</v>
      </c>
      <c r="P42" s="14">
        <f t="shared" si="30"/>
        <v>52.78</v>
      </c>
      <c r="Q42" s="82"/>
      <c r="R42" s="22"/>
      <c r="S42" s="23"/>
    </row>
    <row r="43" spans="1:19" x14ac:dyDescent="0.2">
      <c r="A43" s="72"/>
      <c r="B43" s="76"/>
      <c r="C43" s="76"/>
      <c r="D43" s="76"/>
      <c r="E43" s="4">
        <v>3940</v>
      </c>
      <c r="F43" s="4">
        <v>2</v>
      </c>
      <c r="G43" s="9">
        <f>F43*E43/1000</f>
        <v>7.88</v>
      </c>
      <c r="H43" s="91"/>
      <c r="J43" s="83"/>
      <c r="K43" s="83"/>
      <c r="L43" s="83"/>
      <c r="M43" s="83"/>
      <c r="N43" s="15">
        <v>3940</v>
      </c>
      <c r="O43" s="15">
        <v>2</v>
      </c>
      <c r="P43" s="14">
        <f>O43*N43/1000</f>
        <v>7.88</v>
      </c>
      <c r="Q43" s="82"/>
      <c r="R43" s="22"/>
      <c r="S43" s="23"/>
    </row>
    <row r="44" spans="1:19" x14ac:dyDescent="0.2">
      <c r="A44" s="72"/>
      <c r="B44" s="76"/>
      <c r="C44" s="76"/>
      <c r="D44" s="76"/>
      <c r="E44" s="4">
        <v>5020</v>
      </c>
      <c r="F44" s="4">
        <v>2</v>
      </c>
      <c r="G44" s="9">
        <f>F44*E44/1000</f>
        <v>10.039999999999999</v>
      </c>
      <c r="H44" s="91"/>
      <c r="J44" s="83"/>
      <c r="K44" s="83"/>
      <c r="L44" s="83"/>
      <c r="M44" s="83"/>
      <c r="N44" s="15">
        <v>5020</v>
      </c>
      <c r="O44" s="15">
        <v>2</v>
      </c>
      <c r="P44" s="14">
        <f>O44*N44/1000</f>
        <v>10.039999999999999</v>
      </c>
      <c r="Q44" s="82"/>
      <c r="R44" s="22"/>
      <c r="S44" s="23"/>
    </row>
    <row r="45" spans="1:19" x14ac:dyDescent="0.2">
      <c r="A45" s="72"/>
      <c r="B45" s="76" t="s">
        <v>17</v>
      </c>
      <c r="C45" s="76"/>
      <c r="D45" s="76"/>
      <c r="E45" s="76"/>
      <c r="F45" s="76"/>
      <c r="G45" s="8">
        <f>SUM(G42:G44)</f>
        <v>70.7</v>
      </c>
      <c r="H45" s="10">
        <f>G45*D42/1000000</f>
        <v>0.70699999999999996</v>
      </c>
      <c r="J45" s="83"/>
      <c r="K45" s="83" t="s">
        <v>17</v>
      </c>
      <c r="L45" s="83"/>
      <c r="M45" s="83"/>
      <c r="N45" s="83"/>
      <c r="O45" s="83"/>
      <c r="P45" s="14">
        <f>SUM(P42:P44)</f>
        <v>70.7</v>
      </c>
      <c r="Q45" s="14">
        <f>P45*M42/1000000</f>
        <v>0.70699999999999996</v>
      </c>
      <c r="R45" s="22">
        <f>2*(K42+L42)*P45/1000</f>
        <v>35.35</v>
      </c>
      <c r="S45" s="23"/>
    </row>
    <row r="46" spans="1:19" x14ac:dyDescent="0.2">
      <c r="A46" s="6" t="s">
        <v>2</v>
      </c>
      <c r="B46" s="4">
        <v>50</v>
      </c>
      <c r="C46" s="4">
        <v>200</v>
      </c>
      <c r="D46" s="4">
        <f>B46*C46</f>
        <v>10000</v>
      </c>
      <c r="E46" s="4">
        <v>27300</v>
      </c>
      <c r="F46" s="4">
        <f>2*2*7</f>
        <v>28</v>
      </c>
      <c r="G46" s="8">
        <f t="shared" ref="G46:G48" si="35">F46*E46/1000</f>
        <v>764.4</v>
      </c>
      <c r="H46" s="10">
        <f>G46*D46/1000000</f>
        <v>7.6440000000000001</v>
      </c>
      <c r="J46" s="15" t="s">
        <v>2</v>
      </c>
      <c r="K46" s="15">
        <v>50</v>
      </c>
      <c r="L46" s="15">
        <v>200</v>
      </c>
      <c r="M46" s="15">
        <f>K46*L46</f>
        <v>10000</v>
      </c>
      <c r="N46" s="15">
        <v>27300</v>
      </c>
      <c r="O46" s="15">
        <f>2*2*7</f>
        <v>28</v>
      </c>
      <c r="P46" s="14">
        <f t="shared" ref="P46:P48" si="36">O46*N46/1000</f>
        <v>764.4</v>
      </c>
      <c r="Q46" s="14">
        <f>P46*M46/1000000</f>
        <v>7.6440000000000001</v>
      </c>
      <c r="R46" s="22">
        <f>2*(K46+L46)*P46/1000</f>
        <v>382.2</v>
      </c>
      <c r="S46" s="23"/>
    </row>
    <row r="47" spans="1:19" x14ac:dyDescent="0.2">
      <c r="A47" s="12" t="s">
        <v>51</v>
      </c>
      <c r="B47" s="11">
        <v>20</v>
      </c>
      <c r="C47" s="11">
        <v>150</v>
      </c>
      <c r="D47" s="11">
        <f t="shared" ref="D47:D48" si="37">B47*C47</f>
        <v>3000</v>
      </c>
      <c r="E47" s="11">
        <f>E46*2</f>
        <v>54600</v>
      </c>
      <c r="F47" s="11">
        <f>2*2</f>
        <v>4</v>
      </c>
      <c r="G47" s="8">
        <f t="shared" si="35"/>
        <v>218.4</v>
      </c>
      <c r="H47" s="13">
        <f>G47*D47/1000000</f>
        <v>0.6552</v>
      </c>
      <c r="J47" s="17" t="s">
        <v>51</v>
      </c>
      <c r="K47" s="17">
        <v>20</v>
      </c>
      <c r="L47" s="17">
        <v>150</v>
      </c>
      <c r="M47" s="17">
        <f t="shared" ref="M47:M48" si="38">K47*L47</f>
        <v>3000</v>
      </c>
      <c r="N47" s="17">
        <f>N46*2</f>
        <v>54600</v>
      </c>
      <c r="O47" s="17">
        <f>2*2</f>
        <v>4</v>
      </c>
      <c r="P47" s="19">
        <f t="shared" si="36"/>
        <v>218.4</v>
      </c>
      <c r="Q47" s="19">
        <f>P47*M47/1000000</f>
        <v>0.6552</v>
      </c>
      <c r="R47" s="22">
        <f t="shared" ref="R47:R48" si="39">2*(K47+L47)*P47/1000</f>
        <v>74.256</v>
      </c>
      <c r="S47" s="27"/>
    </row>
    <row r="48" spans="1:19" x14ac:dyDescent="0.2">
      <c r="A48" s="12" t="s">
        <v>52</v>
      </c>
      <c r="B48" s="11">
        <v>10</v>
      </c>
      <c r="C48" s="11">
        <f>250*4</f>
        <v>1000</v>
      </c>
      <c r="D48" s="11">
        <f t="shared" si="37"/>
        <v>10000</v>
      </c>
      <c r="E48" s="11">
        <f>E47</f>
        <v>54600</v>
      </c>
      <c r="F48" s="11">
        <v>2</v>
      </c>
      <c r="G48" s="8">
        <f t="shared" si="35"/>
        <v>109.2</v>
      </c>
      <c r="H48" s="13">
        <f>G48*D48/1000000</f>
        <v>1.0920000000000001</v>
      </c>
      <c r="J48" s="17" t="s">
        <v>52</v>
      </c>
      <c r="K48" s="17">
        <v>10</v>
      </c>
      <c r="L48" s="17">
        <f>250*4</f>
        <v>1000</v>
      </c>
      <c r="M48" s="17">
        <f t="shared" si="38"/>
        <v>10000</v>
      </c>
      <c r="N48" s="17">
        <f>N47</f>
        <v>54600</v>
      </c>
      <c r="O48" s="17">
        <v>2</v>
      </c>
      <c r="P48" s="19">
        <f t="shared" si="36"/>
        <v>109.2</v>
      </c>
      <c r="Q48" s="19">
        <f>P48*M48/1000000</f>
        <v>1.0920000000000001</v>
      </c>
      <c r="R48" s="22">
        <f t="shared" si="39"/>
        <v>220.584</v>
      </c>
      <c r="S48" s="27"/>
    </row>
    <row r="49" spans="1:19" x14ac:dyDescent="0.2">
      <c r="A49" s="72" t="s">
        <v>17</v>
      </c>
      <c r="B49" s="72"/>
      <c r="C49" s="72"/>
      <c r="D49" s="72"/>
      <c r="E49" s="72"/>
      <c r="F49" s="72"/>
      <c r="G49" s="72"/>
      <c r="H49" s="8">
        <f>SUM(H31:H48)</f>
        <v>33.522600000000004</v>
      </c>
      <c r="J49" s="83" t="s">
        <v>17</v>
      </c>
      <c r="K49" s="83"/>
      <c r="L49" s="83"/>
      <c r="M49" s="83"/>
      <c r="N49" s="83"/>
      <c r="O49" s="83"/>
      <c r="P49" s="83"/>
      <c r="Q49" s="14">
        <f>SUM(Q31:Q48)</f>
        <v>33.522600000000004</v>
      </c>
      <c r="R49" s="22">
        <f>SUM(R31:R48)</f>
        <v>1544.2820000000002</v>
      </c>
      <c r="S49" s="23"/>
    </row>
    <row r="52" spans="1:19" x14ac:dyDescent="0.2">
      <c r="A52" s="85" t="s">
        <v>24</v>
      </c>
      <c r="B52" s="85"/>
      <c r="C52" s="85"/>
      <c r="D52" s="85"/>
      <c r="E52" s="85"/>
      <c r="F52" s="85"/>
      <c r="G52" s="85"/>
      <c r="H52" s="85"/>
      <c r="J52" s="84" t="s">
        <v>24</v>
      </c>
      <c r="K52" s="84"/>
      <c r="L52" s="84"/>
      <c r="M52" s="84"/>
      <c r="N52" s="84"/>
      <c r="O52" s="84"/>
      <c r="P52" s="84"/>
      <c r="Q52" s="84"/>
      <c r="R52" s="47"/>
      <c r="S52" s="48"/>
    </row>
    <row r="53" spans="1:19" x14ac:dyDescent="0.2">
      <c r="A53" s="72"/>
      <c r="B53" s="72" t="s">
        <v>6</v>
      </c>
      <c r="C53" s="72"/>
      <c r="D53" s="72"/>
      <c r="E53" s="72" t="s">
        <v>11</v>
      </c>
      <c r="F53" s="72"/>
      <c r="G53" s="72"/>
      <c r="H53" s="72"/>
      <c r="J53" s="78"/>
      <c r="K53" s="78" t="s">
        <v>6</v>
      </c>
      <c r="L53" s="78"/>
      <c r="M53" s="78"/>
      <c r="N53" s="78" t="s">
        <v>11</v>
      </c>
      <c r="O53" s="78"/>
      <c r="P53" s="78"/>
      <c r="Q53" s="78"/>
      <c r="R53" s="21"/>
      <c r="S53" s="25"/>
    </row>
    <row r="54" spans="1:19" x14ac:dyDescent="0.2">
      <c r="A54" s="72"/>
      <c r="B54" s="6" t="s">
        <v>3</v>
      </c>
      <c r="C54" s="6" t="s">
        <v>4</v>
      </c>
      <c r="D54" s="6" t="s">
        <v>5</v>
      </c>
      <c r="E54" s="6" t="s">
        <v>12</v>
      </c>
      <c r="F54" s="6" t="s">
        <v>13</v>
      </c>
      <c r="G54" s="6" t="s">
        <v>16</v>
      </c>
      <c r="H54" s="6" t="s">
        <v>18</v>
      </c>
      <c r="J54" s="78"/>
      <c r="K54" s="17" t="s">
        <v>3</v>
      </c>
      <c r="L54" s="17" t="s">
        <v>4</v>
      </c>
      <c r="M54" s="17" t="s">
        <v>5</v>
      </c>
      <c r="N54" s="17" t="s">
        <v>12</v>
      </c>
      <c r="O54" s="17" t="s">
        <v>13</v>
      </c>
      <c r="P54" s="17" t="s">
        <v>16</v>
      </c>
      <c r="Q54" s="17" t="s">
        <v>18</v>
      </c>
      <c r="R54" s="21" t="s">
        <v>5</v>
      </c>
      <c r="S54" s="25"/>
    </row>
    <row r="55" spans="1:19" ht="18" x14ac:dyDescent="0.2">
      <c r="A55" s="72"/>
      <c r="B55" s="6" t="s">
        <v>9</v>
      </c>
      <c r="C55" s="6" t="s">
        <v>9</v>
      </c>
      <c r="D55" s="6" t="s">
        <v>10</v>
      </c>
      <c r="E55" s="6" t="s">
        <v>9</v>
      </c>
      <c r="F55" s="6" t="s">
        <v>14</v>
      </c>
      <c r="G55" s="6" t="s">
        <v>8</v>
      </c>
      <c r="H55" s="6" t="s">
        <v>19</v>
      </c>
      <c r="J55" s="78"/>
      <c r="K55" s="17" t="s">
        <v>9</v>
      </c>
      <c r="L55" s="17" t="s">
        <v>9</v>
      </c>
      <c r="M55" s="17" t="s">
        <v>10</v>
      </c>
      <c r="N55" s="17" t="s">
        <v>9</v>
      </c>
      <c r="O55" s="17" t="s">
        <v>14</v>
      </c>
      <c r="P55" s="17" t="s">
        <v>8</v>
      </c>
      <c r="Q55" s="17" t="s">
        <v>19</v>
      </c>
      <c r="R55" s="15" t="s">
        <v>68</v>
      </c>
      <c r="S55" s="25"/>
    </row>
    <row r="56" spans="1:19" x14ac:dyDescent="0.2">
      <c r="A56" s="72" t="s">
        <v>15</v>
      </c>
      <c r="B56" s="76">
        <v>100</v>
      </c>
      <c r="C56" s="76">
        <v>200</v>
      </c>
      <c r="D56" s="76">
        <f>B56*C56</f>
        <v>20000</v>
      </c>
      <c r="E56" s="5">
        <v>3275</v>
      </c>
      <c r="F56" s="4">
        <f>2*2*4*1</f>
        <v>16</v>
      </c>
      <c r="G56" s="10">
        <f>F56*E56/1000</f>
        <v>52.4</v>
      </c>
      <c r="H56" s="92"/>
      <c r="J56" s="78" t="s">
        <v>15</v>
      </c>
      <c r="K56" s="78">
        <v>100</v>
      </c>
      <c r="L56" s="78">
        <v>200</v>
      </c>
      <c r="M56" s="78">
        <f>K56*L56</f>
        <v>20000</v>
      </c>
      <c r="N56" s="18">
        <v>3275</v>
      </c>
      <c r="O56" s="17">
        <f>2*2*4*1</f>
        <v>16</v>
      </c>
      <c r="P56" s="9">
        <f>O56*N56/1000</f>
        <v>52.4</v>
      </c>
      <c r="Q56" s="79"/>
      <c r="S56" s="25"/>
    </row>
    <row r="57" spans="1:19" x14ac:dyDescent="0.2">
      <c r="A57" s="72"/>
      <c r="B57" s="76"/>
      <c r="C57" s="76"/>
      <c r="D57" s="76"/>
      <c r="E57" s="5">
        <v>2350</v>
      </c>
      <c r="F57" s="4">
        <f>2*2*4*1</f>
        <v>16</v>
      </c>
      <c r="G57" s="10">
        <f t="shared" ref="G57:G60" si="40">F57*E57/1000</f>
        <v>37.6</v>
      </c>
      <c r="H57" s="93"/>
      <c r="J57" s="78"/>
      <c r="K57" s="78"/>
      <c r="L57" s="78"/>
      <c r="M57" s="78"/>
      <c r="N57" s="18">
        <v>2350</v>
      </c>
      <c r="O57" s="17">
        <f>2*2*4*1</f>
        <v>16</v>
      </c>
      <c r="P57" s="9">
        <f t="shared" ref="P57:P60" si="41">O57*N57/1000</f>
        <v>37.6</v>
      </c>
      <c r="Q57" s="80"/>
      <c r="R57" s="21"/>
      <c r="S57" s="25"/>
    </row>
    <row r="58" spans="1:19" x14ac:dyDescent="0.2">
      <c r="A58" s="72"/>
      <c r="B58" s="76"/>
      <c r="C58" s="76"/>
      <c r="D58" s="76"/>
      <c r="E58" s="5">
        <v>8100</v>
      </c>
      <c r="F58" s="4">
        <f>2*2*4*1</f>
        <v>16</v>
      </c>
      <c r="G58" s="10">
        <f t="shared" si="40"/>
        <v>129.6</v>
      </c>
      <c r="H58" s="93"/>
      <c r="J58" s="78"/>
      <c r="K58" s="78"/>
      <c r="L58" s="78"/>
      <c r="M58" s="78"/>
      <c r="N58" s="18">
        <v>8100</v>
      </c>
      <c r="O58" s="17">
        <f>2*2*4*1</f>
        <v>16</v>
      </c>
      <c r="P58" s="9">
        <f t="shared" si="41"/>
        <v>129.6</v>
      </c>
      <c r="Q58" s="80"/>
      <c r="R58" s="21"/>
      <c r="S58" s="25"/>
    </row>
    <row r="59" spans="1:19" x14ac:dyDescent="0.2">
      <c r="A59" s="72"/>
      <c r="B59" s="76"/>
      <c r="C59" s="76"/>
      <c r="D59" s="76"/>
      <c r="E59" s="5">
        <v>7450</v>
      </c>
      <c r="F59" s="4">
        <f>2*2*4*1</f>
        <v>16</v>
      </c>
      <c r="G59" s="10">
        <f t="shared" si="40"/>
        <v>119.2</v>
      </c>
      <c r="H59" s="93"/>
      <c r="J59" s="78"/>
      <c r="K59" s="78"/>
      <c r="L59" s="78"/>
      <c r="M59" s="78"/>
      <c r="N59" s="18">
        <v>7450</v>
      </c>
      <c r="O59" s="17">
        <f>2*2*4*1</f>
        <v>16</v>
      </c>
      <c r="P59" s="9">
        <f t="shared" si="41"/>
        <v>119.2</v>
      </c>
      <c r="Q59" s="80"/>
      <c r="R59" s="21"/>
      <c r="S59" s="25"/>
    </row>
    <row r="60" spans="1:19" x14ac:dyDescent="0.2">
      <c r="A60" s="72"/>
      <c r="B60" s="76"/>
      <c r="C60" s="76"/>
      <c r="D60" s="76"/>
      <c r="E60" s="5">
        <v>9450</v>
      </c>
      <c r="F60" s="4">
        <f>2*4*1</f>
        <v>8</v>
      </c>
      <c r="G60" s="10">
        <f t="shared" si="40"/>
        <v>75.599999999999994</v>
      </c>
      <c r="H60" s="94"/>
      <c r="J60" s="78"/>
      <c r="K60" s="78"/>
      <c r="L60" s="78"/>
      <c r="M60" s="78"/>
      <c r="N60" s="18">
        <v>9450</v>
      </c>
      <c r="O60" s="17">
        <f>2*4*1</f>
        <v>8</v>
      </c>
      <c r="P60" s="9">
        <f t="shared" si="41"/>
        <v>75.599999999999994</v>
      </c>
      <c r="Q60" s="81"/>
      <c r="S60" s="25"/>
    </row>
    <row r="61" spans="1:19" x14ac:dyDescent="0.2">
      <c r="A61" s="72"/>
      <c r="B61" s="76" t="s">
        <v>17</v>
      </c>
      <c r="C61" s="76"/>
      <c r="D61" s="76"/>
      <c r="E61" s="76"/>
      <c r="F61" s="76"/>
      <c r="G61" s="8">
        <f>SUM(G56:G60)</f>
        <v>414.4</v>
      </c>
      <c r="H61" s="10">
        <f>G61*D56/1000000</f>
        <v>8.2880000000000003</v>
      </c>
      <c r="J61" s="78"/>
      <c r="K61" s="78" t="s">
        <v>17</v>
      </c>
      <c r="L61" s="78"/>
      <c r="M61" s="78"/>
      <c r="N61" s="78"/>
      <c r="O61" s="78"/>
      <c r="P61" s="9">
        <f>SUM(P56:P60)</f>
        <v>414.4</v>
      </c>
      <c r="Q61" s="9">
        <f>P61*M56/1000000</f>
        <v>8.2880000000000003</v>
      </c>
      <c r="R61" s="22">
        <f>2*(K56+L56)*P61/1000</f>
        <v>248.64</v>
      </c>
      <c r="S61" s="27"/>
    </row>
    <row r="62" spans="1:19" x14ac:dyDescent="0.2">
      <c r="A62" s="6" t="s">
        <v>0</v>
      </c>
      <c r="B62" s="4">
        <v>50</v>
      </c>
      <c r="C62" s="4">
        <v>200</v>
      </c>
      <c r="D62" s="4">
        <f t="shared" ref="D62" si="42">B62*C62</f>
        <v>10000</v>
      </c>
      <c r="E62" s="4">
        <v>1550</v>
      </c>
      <c r="F62" s="4">
        <f>2*2*(2*20+1)</f>
        <v>164</v>
      </c>
      <c r="G62" s="8">
        <f t="shared" ref="G62:G68" si="43">F62*E62/1000</f>
        <v>254.2</v>
      </c>
      <c r="H62" s="10">
        <f>G62*D62/1000000</f>
        <v>2.5419999999999998</v>
      </c>
      <c r="J62" s="17" t="s">
        <v>0</v>
      </c>
      <c r="K62" s="17">
        <v>50</v>
      </c>
      <c r="L62" s="17">
        <v>200</v>
      </c>
      <c r="M62" s="17">
        <f t="shared" ref="M62" si="44">K62*L62</f>
        <v>10000</v>
      </c>
      <c r="N62" s="17">
        <v>1550</v>
      </c>
      <c r="O62" s="17">
        <f>2*2*(2*20+1)</f>
        <v>164</v>
      </c>
      <c r="P62" s="9">
        <f t="shared" ref="P62:P68" si="45">O62*N62/1000</f>
        <v>254.2</v>
      </c>
      <c r="Q62" s="9">
        <f>P62*M62/1000000</f>
        <v>2.5419999999999998</v>
      </c>
      <c r="R62" s="22">
        <f>2*(K62+L62)*P62/1000</f>
        <v>127.1</v>
      </c>
      <c r="S62" s="27"/>
    </row>
    <row r="63" spans="1:19" x14ac:dyDescent="0.2">
      <c r="A63" s="72" t="s">
        <v>1</v>
      </c>
      <c r="B63" s="4">
        <v>80</v>
      </c>
      <c r="C63" s="4">
        <v>200</v>
      </c>
      <c r="D63" s="4">
        <f>B63*C63</f>
        <v>16000</v>
      </c>
      <c r="E63" s="4">
        <v>2400</v>
      </c>
      <c r="F63" s="4">
        <f>2*2*(2*15+1)</f>
        <v>124</v>
      </c>
      <c r="G63" s="8">
        <f t="shared" si="43"/>
        <v>297.60000000000002</v>
      </c>
      <c r="H63" s="70"/>
      <c r="I63" s="2">
        <f t="shared" ref="I63:I64" si="46">G63*D63/1000000</f>
        <v>4.7615999999999996</v>
      </c>
      <c r="J63" s="78" t="s">
        <v>1</v>
      </c>
      <c r="K63" s="17">
        <v>80</v>
      </c>
      <c r="L63" s="17">
        <v>200</v>
      </c>
      <c r="M63" s="17">
        <f>K63*L63</f>
        <v>16000</v>
      </c>
      <c r="N63" s="17">
        <v>2400</v>
      </c>
      <c r="O63" s="17">
        <f>2*2*(2*15+1)</f>
        <v>124</v>
      </c>
      <c r="P63" s="9">
        <f t="shared" si="45"/>
        <v>297.60000000000002</v>
      </c>
      <c r="Q63" s="9">
        <f t="shared" ref="Q63:Q67" si="47">P63*M63/1000000</f>
        <v>4.7615999999999996</v>
      </c>
      <c r="R63" s="22">
        <f>2*(K63+L63)*P63/1000</f>
        <v>166.65600000000001</v>
      </c>
      <c r="S63" s="27"/>
    </row>
    <row r="64" spans="1:19" x14ac:dyDescent="0.2">
      <c r="A64" s="72"/>
      <c r="B64" s="4">
        <v>40</v>
      </c>
      <c r="C64" s="4">
        <v>200</v>
      </c>
      <c r="D64" s="4">
        <f>B64*C64</f>
        <v>8000</v>
      </c>
      <c r="E64" s="4">
        <v>2400</v>
      </c>
      <c r="F64" s="4">
        <f>2*(2*15+1)</f>
        <v>62</v>
      </c>
      <c r="G64" s="8">
        <f t="shared" si="43"/>
        <v>148.80000000000001</v>
      </c>
      <c r="H64" s="71"/>
      <c r="I64" s="2">
        <f t="shared" si="46"/>
        <v>1.1903999999999999</v>
      </c>
      <c r="J64" s="78"/>
      <c r="K64" s="17">
        <v>40</v>
      </c>
      <c r="L64" s="17">
        <v>200</v>
      </c>
      <c r="M64" s="17">
        <f>K64*L64</f>
        <v>8000</v>
      </c>
      <c r="N64" s="17">
        <v>2400</v>
      </c>
      <c r="O64" s="17">
        <f>2*(2*15+1)</f>
        <v>62</v>
      </c>
      <c r="P64" s="9">
        <f t="shared" si="45"/>
        <v>148.80000000000001</v>
      </c>
      <c r="Q64" s="9">
        <f t="shared" si="47"/>
        <v>1.1903999999999999</v>
      </c>
      <c r="R64" s="22">
        <f>2*(K64+L64)*P64/1000</f>
        <v>71.424000000000007</v>
      </c>
      <c r="S64" s="27"/>
    </row>
    <row r="65" spans="1:19" x14ac:dyDescent="0.2">
      <c r="A65" s="34"/>
      <c r="B65" s="35"/>
      <c r="C65" s="35"/>
      <c r="D65" s="35"/>
      <c r="E65" s="35"/>
      <c r="F65" s="35"/>
      <c r="G65" s="8"/>
      <c r="H65" s="40">
        <f>SUM(I63:I64)</f>
        <v>5.952</v>
      </c>
      <c r="I65" s="2"/>
      <c r="J65" s="36"/>
      <c r="K65" s="36"/>
      <c r="L65" s="36"/>
      <c r="M65" s="36"/>
      <c r="N65" s="36"/>
      <c r="O65" s="36"/>
      <c r="P65" s="37"/>
      <c r="Q65" s="37"/>
      <c r="R65" s="22"/>
      <c r="S65" s="27"/>
    </row>
    <row r="66" spans="1:19" x14ac:dyDescent="0.2">
      <c r="A66" s="6" t="s">
        <v>20</v>
      </c>
      <c r="B66" s="4">
        <v>100</v>
      </c>
      <c r="C66" s="4">
        <v>200</v>
      </c>
      <c r="D66" s="4">
        <f>B66*C66</f>
        <v>20000</v>
      </c>
      <c r="E66" s="4">
        <v>4640</v>
      </c>
      <c r="F66" s="4">
        <f>2*23</f>
        <v>46</v>
      </c>
      <c r="G66" s="8">
        <f t="shared" si="43"/>
        <v>213.44</v>
      </c>
      <c r="H66" s="10">
        <f t="shared" ref="H66:H67" si="48">G66*D66/1000000</f>
        <v>4.2687999999999997</v>
      </c>
      <c r="J66" s="17" t="s">
        <v>20</v>
      </c>
      <c r="K66" s="17">
        <v>100</v>
      </c>
      <c r="L66" s="17">
        <v>200</v>
      </c>
      <c r="M66" s="17">
        <f>K66*L66</f>
        <v>20000</v>
      </c>
      <c r="N66" s="17">
        <v>4640</v>
      </c>
      <c r="O66" s="17">
        <f>2*23</f>
        <v>46</v>
      </c>
      <c r="P66" s="9">
        <f t="shared" si="45"/>
        <v>213.44</v>
      </c>
      <c r="Q66" s="9">
        <f t="shared" si="47"/>
        <v>4.2687999999999997</v>
      </c>
      <c r="R66" s="22">
        <f>2*(K66+L66)*P66/1000</f>
        <v>128.06399999999999</v>
      </c>
      <c r="S66" s="27"/>
    </row>
    <row r="67" spans="1:19" x14ac:dyDescent="0.2">
      <c r="A67" s="6" t="s">
        <v>22</v>
      </c>
      <c r="B67" s="4">
        <v>100</v>
      </c>
      <c r="C67" s="4">
        <v>100</v>
      </c>
      <c r="D67" s="4">
        <f>B67*C67</f>
        <v>10000</v>
      </c>
      <c r="E67" s="4">
        <v>1300</v>
      </c>
      <c r="F67" s="4">
        <f>2*2*23</f>
        <v>92</v>
      </c>
      <c r="G67" s="8">
        <f t="shared" si="43"/>
        <v>119.6</v>
      </c>
      <c r="H67" s="10">
        <f t="shared" si="48"/>
        <v>1.196</v>
      </c>
      <c r="J67" s="17" t="s">
        <v>22</v>
      </c>
      <c r="K67" s="17">
        <v>100</v>
      </c>
      <c r="L67" s="17">
        <v>100</v>
      </c>
      <c r="M67" s="17">
        <f>K67*L67</f>
        <v>10000</v>
      </c>
      <c r="N67" s="17">
        <v>1300</v>
      </c>
      <c r="O67" s="17">
        <f>2*2*23</f>
        <v>92</v>
      </c>
      <c r="P67" s="9">
        <f t="shared" si="45"/>
        <v>119.6</v>
      </c>
      <c r="Q67" s="9">
        <f t="shared" si="47"/>
        <v>1.196</v>
      </c>
      <c r="S67" s="27"/>
    </row>
    <row r="68" spans="1:19" x14ac:dyDescent="0.2">
      <c r="A68" s="72" t="s">
        <v>21</v>
      </c>
      <c r="B68" s="76">
        <v>50</v>
      </c>
      <c r="C68" s="76">
        <v>200</v>
      </c>
      <c r="D68" s="76">
        <f>B68*C68</f>
        <v>10000</v>
      </c>
      <c r="E68" s="4">
        <v>3770</v>
      </c>
      <c r="F68" s="4">
        <f>2*8</f>
        <v>16</v>
      </c>
      <c r="G68" s="9">
        <f t="shared" si="43"/>
        <v>60.32</v>
      </c>
      <c r="H68" s="91"/>
      <c r="J68" s="78" t="s">
        <v>21</v>
      </c>
      <c r="K68" s="78">
        <v>50</v>
      </c>
      <c r="L68" s="78">
        <v>200</v>
      </c>
      <c r="M68" s="78">
        <f>K68*L68</f>
        <v>10000</v>
      </c>
      <c r="N68" s="17">
        <v>3770</v>
      </c>
      <c r="O68" s="17">
        <f>2*8</f>
        <v>16</v>
      </c>
      <c r="P68" s="9">
        <f t="shared" si="45"/>
        <v>60.32</v>
      </c>
      <c r="Q68" s="86"/>
      <c r="R68" s="22"/>
      <c r="S68" s="27"/>
    </row>
    <row r="69" spans="1:19" x14ac:dyDescent="0.2">
      <c r="A69" s="72"/>
      <c r="B69" s="76"/>
      <c r="C69" s="76"/>
      <c r="D69" s="76"/>
      <c r="E69" s="4">
        <v>3940</v>
      </c>
      <c r="F69" s="4">
        <v>2</v>
      </c>
      <c r="G69" s="9">
        <f>F69*E69/1000</f>
        <v>7.88</v>
      </c>
      <c r="H69" s="91"/>
      <c r="J69" s="78"/>
      <c r="K69" s="78"/>
      <c r="L69" s="78"/>
      <c r="M69" s="78"/>
      <c r="N69" s="17">
        <v>3940</v>
      </c>
      <c r="O69" s="17">
        <v>2</v>
      </c>
      <c r="P69" s="9">
        <f>O69*N69/1000</f>
        <v>7.88</v>
      </c>
      <c r="Q69" s="86"/>
      <c r="R69" s="22"/>
      <c r="S69" s="27"/>
    </row>
    <row r="70" spans="1:19" x14ac:dyDescent="0.2">
      <c r="A70" s="72"/>
      <c r="B70" s="76" t="s">
        <v>17</v>
      </c>
      <c r="C70" s="76"/>
      <c r="D70" s="76"/>
      <c r="E70" s="76"/>
      <c r="F70" s="76"/>
      <c r="G70" s="8">
        <f>SUM(G68:G69)</f>
        <v>68.2</v>
      </c>
      <c r="H70" s="10">
        <f>G70*D68/1000000</f>
        <v>0.68200000000000005</v>
      </c>
      <c r="J70" s="78"/>
      <c r="K70" s="78" t="s">
        <v>17</v>
      </c>
      <c r="L70" s="78"/>
      <c r="M70" s="78"/>
      <c r="N70" s="78"/>
      <c r="O70" s="78"/>
      <c r="P70" s="9">
        <f>SUM(P68:P69)</f>
        <v>68.2</v>
      </c>
      <c r="Q70" s="9">
        <f>P70*M68/1000000</f>
        <v>0.68200000000000005</v>
      </c>
      <c r="R70" s="22">
        <f>2*(K68+L68)*P70/1000</f>
        <v>34.1</v>
      </c>
      <c r="S70" s="27"/>
    </row>
    <row r="71" spans="1:19" x14ac:dyDescent="0.2">
      <c r="A71" s="6" t="s">
        <v>2</v>
      </c>
      <c r="B71" s="4">
        <v>50</v>
      </c>
      <c r="C71" s="4">
        <v>200</v>
      </c>
      <c r="D71" s="4">
        <f>B71*C71</f>
        <v>10000</v>
      </c>
      <c r="E71" s="4">
        <v>25950</v>
      </c>
      <c r="F71" s="4">
        <f>2*2*7</f>
        <v>28</v>
      </c>
      <c r="G71" s="8">
        <f t="shared" ref="G71:G73" si="49">F71*E71/1000</f>
        <v>726.6</v>
      </c>
      <c r="H71" s="10">
        <f>G71*D71/1000000</f>
        <v>7.266</v>
      </c>
      <c r="J71" s="17" t="s">
        <v>2</v>
      </c>
      <c r="K71" s="17">
        <v>50</v>
      </c>
      <c r="L71" s="17">
        <v>200</v>
      </c>
      <c r="M71" s="17">
        <f>K71*L71</f>
        <v>10000</v>
      </c>
      <c r="N71" s="17">
        <v>25950</v>
      </c>
      <c r="O71" s="17">
        <f>2*2*7</f>
        <v>28</v>
      </c>
      <c r="P71" s="9">
        <f t="shared" ref="P71:P73" si="50">O71*N71/1000</f>
        <v>726.6</v>
      </c>
      <c r="Q71" s="9">
        <f>P71*M71/1000000</f>
        <v>7.266</v>
      </c>
      <c r="R71" s="22">
        <f>2*(K71+L71)*P71/1000</f>
        <v>363.3</v>
      </c>
      <c r="S71" s="27"/>
    </row>
    <row r="72" spans="1:19" x14ac:dyDescent="0.2">
      <c r="A72" s="12" t="s">
        <v>51</v>
      </c>
      <c r="B72" s="11">
        <v>20</v>
      </c>
      <c r="C72" s="11">
        <v>150</v>
      </c>
      <c r="D72" s="11">
        <f t="shared" ref="D72:D73" si="51">B72*C72</f>
        <v>3000</v>
      </c>
      <c r="E72" s="11">
        <f>E71*2</f>
        <v>51900</v>
      </c>
      <c r="F72" s="11">
        <f>2*2</f>
        <v>4</v>
      </c>
      <c r="G72" s="8">
        <f t="shared" si="49"/>
        <v>207.6</v>
      </c>
      <c r="H72" s="13">
        <f>G72*D72/1000000</f>
        <v>0.62280000000000002</v>
      </c>
      <c r="J72" s="17" t="s">
        <v>51</v>
      </c>
      <c r="K72" s="17">
        <v>20</v>
      </c>
      <c r="L72" s="17">
        <v>150</v>
      </c>
      <c r="M72" s="17">
        <f t="shared" ref="M72:M73" si="52">K72*L72</f>
        <v>3000</v>
      </c>
      <c r="N72" s="17">
        <f>N71*2</f>
        <v>51900</v>
      </c>
      <c r="O72" s="17">
        <f>2*2</f>
        <v>4</v>
      </c>
      <c r="P72" s="19">
        <f t="shared" si="50"/>
        <v>207.6</v>
      </c>
      <c r="Q72" s="19">
        <f>P72*M72/1000000</f>
        <v>0.62280000000000002</v>
      </c>
      <c r="R72" s="22">
        <f t="shared" ref="R72:R73" si="53">2*(K72+L72)*P72/1000</f>
        <v>70.584000000000003</v>
      </c>
      <c r="S72" s="27"/>
    </row>
    <row r="73" spans="1:19" x14ac:dyDescent="0.2">
      <c r="A73" s="12" t="s">
        <v>52</v>
      </c>
      <c r="B73" s="11">
        <v>10</v>
      </c>
      <c r="C73" s="11">
        <f>250*4</f>
        <v>1000</v>
      </c>
      <c r="D73" s="11">
        <f t="shared" si="51"/>
        <v>10000</v>
      </c>
      <c r="E73" s="11">
        <f>E72</f>
        <v>51900</v>
      </c>
      <c r="F73" s="11">
        <v>2</v>
      </c>
      <c r="G73" s="8">
        <f t="shared" si="49"/>
        <v>103.8</v>
      </c>
      <c r="H73" s="13">
        <f>G73*D73/1000000</f>
        <v>1.038</v>
      </c>
      <c r="J73" s="17" t="s">
        <v>52</v>
      </c>
      <c r="K73" s="17">
        <v>10</v>
      </c>
      <c r="L73" s="17">
        <f>250*4</f>
        <v>1000</v>
      </c>
      <c r="M73" s="17">
        <f t="shared" si="52"/>
        <v>10000</v>
      </c>
      <c r="N73" s="17">
        <f>N72</f>
        <v>51900</v>
      </c>
      <c r="O73" s="17">
        <v>2</v>
      </c>
      <c r="P73" s="19">
        <f t="shared" si="50"/>
        <v>103.8</v>
      </c>
      <c r="Q73" s="19">
        <f>P73*M73/1000000</f>
        <v>1.038</v>
      </c>
      <c r="R73" s="22">
        <f t="shared" si="53"/>
        <v>209.67599999999999</v>
      </c>
      <c r="S73" s="27"/>
    </row>
    <row r="74" spans="1:19" x14ac:dyDescent="0.2">
      <c r="A74" s="72" t="s">
        <v>17</v>
      </c>
      <c r="B74" s="72"/>
      <c r="C74" s="72"/>
      <c r="D74" s="72"/>
      <c r="E74" s="72"/>
      <c r="F74" s="72"/>
      <c r="G74" s="72"/>
      <c r="H74" s="8">
        <f>SUM(H56:H73)</f>
        <v>31.855600000000003</v>
      </c>
      <c r="J74" s="78" t="s">
        <v>17</v>
      </c>
      <c r="K74" s="78"/>
      <c r="L74" s="78"/>
      <c r="M74" s="78"/>
      <c r="N74" s="78"/>
      <c r="O74" s="78"/>
      <c r="P74" s="78"/>
      <c r="Q74" s="9">
        <f>SUM(Q56:Q73)</f>
        <v>31.855600000000003</v>
      </c>
      <c r="R74" s="22">
        <f>SUM(R56:R73)</f>
        <v>1419.5439999999999</v>
      </c>
      <c r="S74" s="27"/>
    </row>
    <row r="77" spans="1:19" x14ac:dyDescent="0.2">
      <c r="A77" s="85" t="s">
        <v>37</v>
      </c>
      <c r="B77" s="85"/>
      <c r="C77" s="85"/>
      <c r="D77" s="85"/>
      <c r="E77" s="85"/>
      <c r="F77" s="85"/>
      <c r="G77" s="85"/>
      <c r="H77" s="85"/>
    </row>
    <row r="78" spans="1:19" x14ac:dyDescent="0.2">
      <c r="A78" s="72"/>
      <c r="B78" s="72" t="s">
        <v>6</v>
      </c>
      <c r="C78" s="72"/>
      <c r="D78" s="72"/>
      <c r="E78" s="72" t="s">
        <v>11</v>
      </c>
      <c r="F78" s="72"/>
      <c r="G78" s="72"/>
      <c r="H78" s="72"/>
    </row>
    <row r="79" spans="1:19" x14ac:dyDescent="0.2">
      <c r="A79" s="72"/>
      <c r="B79" s="6" t="s">
        <v>3</v>
      </c>
      <c r="C79" s="6" t="s">
        <v>4</v>
      </c>
      <c r="D79" s="6" t="s">
        <v>5</v>
      </c>
      <c r="E79" s="6" t="s">
        <v>12</v>
      </c>
      <c r="F79" s="6" t="s">
        <v>13</v>
      </c>
      <c r="G79" s="6" t="s">
        <v>16</v>
      </c>
      <c r="H79" s="6" t="s">
        <v>18</v>
      </c>
      <c r="L79" s="50" t="s">
        <v>28</v>
      </c>
      <c r="M79" s="50"/>
      <c r="N79" s="50" t="s">
        <v>35</v>
      </c>
      <c r="O79" s="50"/>
      <c r="P79" s="50" t="s">
        <v>36</v>
      </c>
      <c r="Q79" s="50"/>
    </row>
    <row r="80" spans="1:19" ht="18" x14ac:dyDescent="0.2">
      <c r="A80" s="72"/>
      <c r="B80" s="6" t="s">
        <v>9</v>
      </c>
      <c r="C80" s="6" t="s">
        <v>9</v>
      </c>
      <c r="D80" s="6" t="s">
        <v>10</v>
      </c>
      <c r="E80" s="6" t="s">
        <v>9</v>
      </c>
      <c r="F80" s="6" t="s">
        <v>14</v>
      </c>
      <c r="G80" s="6" t="s">
        <v>8</v>
      </c>
      <c r="H80" s="6" t="s">
        <v>19</v>
      </c>
      <c r="L80" s="50" t="s">
        <v>84</v>
      </c>
      <c r="M80" s="50"/>
      <c r="N80" s="50" t="s">
        <v>84</v>
      </c>
      <c r="O80" s="50"/>
      <c r="P80" s="50" t="s">
        <v>84</v>
      </c>
      <c r="Q80" s="50"/>
    </row>
    <row r="81" spans="1:18" x14ac:dyDescent="0.2">
      <c r="A81" s="6" t="s">
        <v>38</v>
      </c>
      <c r="B81" s="4">
        <v>200</v>
      </c>
      <c r="C81" s="4">
        <v>200</v>
      </c>
      <c r="D81" s="4">
        <f t="shared" ref="D81" si="54">B81*C81</f>
        <v>40000</v>
      </c>
      <c r="E81" s="4">
        <v>3700</v>
      </c>
      <c r="F81" s="4">
        <f>I81*J81</f>
        <v>6</v>
      </c>
      <c r="G81" s="8">
        <f t="shared" ref="G81:G83" si="55">F81*E81/1000</f>
        <v>22.2</v>
      </c>
      <c r="H81" s="10">
        <f>G81*D81/1000000</f>
        <v>0.88800000000000001</v>
      </c>
      <c r="I81" s="1">
        <v>1</v>
      </c>
      <c r="J81" s="1">
        <f>SUM($W$5:$W$7)</f>
        <v>6</v>
      </c>
      <c r="L81" s="50">
        <v>2</v>
      </c>
      <c r="M81" s="51">
        <f>D81*E81*L81/1000000000</f>
        <v>0.29599999999999999</v>
      </c>
      <c r="N81" s="50">
        <v>2</v>
      </c>
      <c r="O81" s="51">
        <f>D81*E81*N81/1000000000</f>
        <v>0.29599999999999999</v>
      </c>
      <c r="P81" s="50">
        <v>2</v>
      </c>
      <c r="Q81" s="51">
        <f>D81*E81*P81/1000000000</f>
        <v>0.29599999999999999</v>
      </c>
      <c r="R81" s="49">
        <f>Q81+O81+M81</f>
        <v>0.8879999999999999</v>
      </c>
    </row>
    <row r="82" spans="1:18" x14ac:dyDescent="0.2">
      <c r="A82" s="6" t="s">
        <v>40</v>
      </c>
      <c r="B82" s="4">
        <v>200</v>
      </c>
      <c r="C82" s="4">
        <v>200</v>
      </c>
      <c r="D82" s="4">
        <f>B82*C82</f>
        <v>40000</v>
      </c>
      <c r="E82" s="4">
        <v>4100</v>
      </c>
      <c r="F82" s="4">
        <f t="shared" ref="F82:F92" si="56">I82*J82</f>
        <v>12</v>
      </c>
      <c r="G82" s="8">
        <f t="shared" si="55"/>
        <v>49.2</v>
      </c>
      <c r="H82" s="10">
        <f t="shared" ref="H82:H84" si="57">G82*D82/1000000</f>
        <v>1.968</v>
      </c>
      <c r="I82" s="1">
        <v>2</v>
      </c>
      <c r="J82" s="1">
        <f>SUM($Z$5:$Z$7)</f>
        <v>6</v>
      </c>
      <c r="L82" s="50">
        <v>4</v>
      </c>
      <c r="M82" s="51">
        <f t="shared" ref="M82:M92" si="58">D82*E82*L82/1000000000</f>
        <v>0.65600000000000003</v>
      </c>
      <c r="N82" s="50">
        <v>4</v>
      </c>
      <c r="O82" s="51">
        <f t="shared" ref="O82:O92" si="59">D82*E82*N82/1000000000</f>
        <v>0.65600000000000003</v>
      </c>
      <c r="P82" s="50">
        <v>4</v>
      </c>
      <c r="Q82" s="51">
        <f t="shared" ref="Q82:Q92" si="60">D82*E82*P82/1000000000</f>
        <v>0.65600000000000003</v>
      </c>
      <c r="R82" s="49">
        <f t="shared" ref="R82:R92" si="61">Q82+O82+M82</f>
        <v>1.968</v>
      </c>
    </row>
    <row r="83" spans="1:18" x14ac:dyDescent="0.2">
      <c r="A83" s="6" t="s">
        <v>39</v>
      </c>
      <c r="B83" s="4">
        <v>200</v>
      </c>
      <c r="C83" s="4">
        <v>200</v>
      </c>
      <c r="D83" s="4">
        <f>B83*C83</f>
        <v>40000</v>
      </c>
      <c r="E83" s="4">
        <v>1400</v>
      </c>
      <c r="F83" s="4">
        <f t="shared" si="56"/>
        <v>24</v>
      </c>
      <c r="G83" s="8">
        <f t="shared" si="55"/>
        <v>33.6</v>
      </c>
      <c r="H83" s="10">
        <f t="shared" si="57"/>
        <v>1.3440000000000001</v>
      </c>
      <c r="I83" s="1">
        <v>4</v>
      </c>
      <c r="J83" s="1">
        <f>SUM($Z$5:$Z$7)</f>
        <v>6</v>
      </c>
      <c r="L83" s="50">
        <v>8</v>
      </c>
      <c r="M83" s="51">
        <f t="shared" si="58"/>
        <v>0.44800000000000001</v>
      </c>
      <c r="N83" s="50">
        <v>8</v>
      </c>
      <c r="O83" s="51">
        <f t="shared" si="59"/>
        <v>0.44800000000000001</v>
      </c>
      <c r="P83" s="50">
        <v>8</v>
      </c>
      <c r="Q83" s="51">
        <f t="shared" si="60"/>
        <v>0.44800000000000001</v>
      </c>
      <c r="R83" s="49">
        <f t="shared" si="61"/>
        <v>1.3440000000000001</v>
      </c>
    </row>
    <row r="84" spans="1:18" x14ac:dyDescent="0.2">
      <c r="A84" s="6" t="s">
        <v>41</v>
      </c>
      <c r="B84" s="4">
        <v>200</v>
      </c>
      <c r="C84" s="4">
        <v>200</v>
      </c>
      <c r="D84" s="4">
        <f t="shared" ref="D84:D92" si="62">B84*C84</f>
        <v>40000</v>
      </c>
      <c r="E84" s="4">
        <v>1800</v>
      </c>
      <c r="F84" s="4">
        <f t="shared" si="56"/>
        <v>42</v>
      </c>
      <c r="G84" s="8">
        <f t="shared" ref="G84:G92" si="63">F84*E84/1000</f>
        <v>75.599999999999994</v>
      </c>
      <c r="H84" s="10">
        <f t="shared" si="57"/>
        <v>3.024</v>
      </c>
      <c r="I84" s="1">
        <v>6</v>
      </c>
      <c r="J84" s="1">
        <f>SUM($AC$5:$AC$7)</f>
        <v>7</v>
      </c>
      <c r="L84" s="50">
        <f>F84/7*3</f>
        <v>18</v>
      </c>
      <c r="M84" s="51">
        <f t="shared" si="58"/>
        <v>1.296</v>
      </c>
      <c r="N84" s="50">
        <f>F84/7*2</f>
        <v>12</v>
      </c>
      <c r="O84" s="51">
        <f t="shared" si="59"/>
        <v>0.86399999999999999</v>
      </c>
      <c r="P84" s="50">
        <f>F84/7*2</f>
        <v>12</v>
      </c>
      <c r="Q84" s="51">
        <f t="shared" si="60"/>
        <v>0.86399999999999999</v>
      </c>
      <c r="R84" s="49">
        <f t="shared" si="61"/>
        <v>3.024</v>
      </c>
    </row>
    <row r="85" spans="1:18" x14ac:dyDescent="0.2">
      <c r="A85" s="6" t="s">
        <v>42</v>
      </c>
      <c r="B85" s="4">
        <v>200</v>
      </c>
      <c r="C85" s="4">
        <v>200</v>
      </c>
      <c r="D85" s="4">
        <f t="shared" si="62"/>
        <v>40000</v>
      </c>
      <c r="E85" s="4">
        <v>3900</v>
      </c>
      <c r="F85" s="4">
        <f t="shared" si="56"/>
        <v>14</v>
      </c>
      <c r="G85" s="8">
        <f t="shared" si="63"/>
        <v>54.6</v>
      </c>
      <c r="H85" s="10">
        <f t="shared" ref="H85:H92" si="64">G85*D85/1000000</f>
        <v>2.1840000000000002</v>
      </c>
      <c r="I85" s="1">
        <v>2</v>
      </c>
      <c r="J85" s="1">
        <f t="shared" ref="J85:J92" si="65">SUM($AC$5:$AC$7)</f>
        <v>7</v>
      </c>
      <c r="L85" s="50">
        <f t="shared" ref="L85:L92" si="66">F85/7*3</f>
        <v>6</v>
      </c>
      <c r="M85" s="51">
        <f t="shared" si="58"/>
        <v>0.93600000000000005</v>
      </c>
      <c r="N85" s="50">
        <f t="shared" ref="N85:N92" si="67">F85/7*2</f>
        <v>4</v>
      </c>
      <c r="O85" s="51">
        <f t="shared" si="59"/>
        <v>0.624</v>
      </c>
      <c r="P85" s="50">
        <f>F85/7*2</f>
        <v>4</v>
      </c>
      <c r="Q85" s="51">
        <f t="shared" si="60"/>
        <v>0.624</v>
      </c>
      <c r="R85" s="49">
        <f t="shared" si="61"/>
        <v>2.1840000000000002</v>
      </c>
    </row>
    <row r="86" spans="1:18" x14ac:dyDescent="0.2">
      <c r="A86" s="6" t="s">
        <v>43</v>
      </c>
      <c r="B86" s="4">
        <v>200</v>
      </c>
      <c r="C86" s="4">
        <v>200</v>
      </c>
      <c r="D86" s="4">
        <f t="shared" si="62"/>
        <v>40000</v>
      </c>
      <c r="E86" s="4">
        <v>1460</v>
      </c>
      <c r="F86" s="4">
        <f t="shared" si="56"/>
        <v>56</v>
      </c>
      <c r="G86" s="8">
        <f t="shared" si="63"/>
        <v>81.760000000000005</v>
      </c>
      <c r="H86" s="10">
        <f t="shared" si="64"/>
        <v>3.2704</v>
      </c>
      <c r="I86" s="1">
        <v>8</v>
      </c>
      <c r="J86" s="1">
        <f t="shared" si="65"/>
        <v>7</v>
      </c>
      <c r="L86" s="50">
        <f t="shared" si="66"/>
        <v>24</v>
      </c>
      <c r="M86" s="51">
        <f t="shared" si="58"/>
        <v>1.4016</v>
      </c>
      <c r="N86" s="50">
        <f t="shared" si="67"/>
        <v>16</v>
      </c>
      <c r="O86" s="51">
        <f t="shared" si="59"/>
        <v>0.93440000000000001</v>
      </c>
      <c r="P86" s="50">
        <f>F86/7*2</f>
        <v>16</v>
      </c>
      <c r="Q86" s="51">
        <f t="shared" si="60"/>
        <v>0.93440000000000001</v>
      </c>
      <c r="R86" s="49">
        <f t="shared" si="61"/>
        <v>3.2704</v>
      </c>
    </row>
    <row r="87" spans="1:18" x14ac:dyDescent="0.2">
      <c r="A87" s="73" t="s">
        <v>45</v>
      </c>
      <c r="B87" s="4">
        <v>200</v>
      </c>
      <c r="C87" s="4">
        <v>200</v>
      </c>
      <c r="D87" s="4">
        <f t="shared" si="62"/>
        <v>40000</v>
      </c>
      <c r="E87" s="4">
        <v>1560</v>
      </c>
      <c r="F87" s="4">
        <f t="shared" si="56"/>
        <v>28</v>
      </c>
      <c r="G87" s="9">
        <f t="shared" si="63"/>
        <v>43.68</v>
      </c>
      <c r="H87" s="70">
        <f>G89*D87/1000000</f>
        <v>2.6095999999999999</v>
      </c>
      <c r="I87" s="1">
        <v>4</v>
      </c>
      <c r="J87" s="1">
        <f t="shared" si="65"/>
        <v>7</v>
      </c>
      <c r="L87" s="50">
        <f t="shared" si="66"/>
        <v>12</v>
      </c>
      <c r="M87" s="51">
        <f t="shared" si="58"/>
        <v>0.74880000000000002</v>
      </c>
      <c r="N87" s="50">
        <f t="shared" si="67"/>
        <v>8</v>
      </c>
      <c r="O87" s="51">
        <f t="shared" si="59"/>
        <v>0.49919999999999998</v>
      </c>
      <c r="P87" s="50">
        <f>F87/7*2</f>
        <v>8</v>
      </c>
      <c r="Q87" s="51">
        <f t="shared" si="60"/>
        <v>0.49919999999999998</v>
      </c>
      <c r="R87" s="49">
        <f t="shared" si="61"/>
        <v>1.7471999999999999</v>
      </c>
    </row>
    <row r="88" spans="1:18" x14ac:dyDescent="0.2">
      <c r="A88" s="74"/>
      <c r="B88" s="4">
        <v>200</v>
      </c>
      <c r="C88" s="4">
        <v>200</v>
      </c>
      <c r="D88" s="4">
        <f t="shared" ref="D88" si="68">B88*C88</f>
        <v>40000</v>
      </c>
      <c r="E88" s="4">
        <v>1540</v>
      </c>
      <c r="F88" s="4">
        <f t="shared" si="56"/>
        <v>14</v>
      </c>
      <c r="G88" s="9">
        <f t="shared" ref="G88" si="69">F88*E88/1000</f>
        <v>21.56</v>
      </c>
      <c r="H88" s="77"/>
      <c r="I88" s="1">
        <v>2</v>
      </c>
      <c r="J88" s="1">
        <f t="shared" si="65"/>
        <v>7</v>
      </c>
      <c r="L88" s="50">
        <f t="shared" si="66"/>
        <v>6</v>
      </c>
      <c r="M88" s="51">
        <f t="shared" si="58"/>
        <v>0.36959999999999998</v>
      </c>
      <c r="N88" s="50">
        <f t="shared" si="67"/>
        <v>4</v>
      </c>
      <c r="O88" s="51">
        <f t="shared" si="59"/>
        <v>0.24640000000000001</v>
      </c>
      <c r="P88" s="50">
        <f>F88/7*2</f>
        <v>4</v>
      </c>
      <c r="Q88" s="51">
        <f t="shared" si="60"/>
        <v>0.24640000000000001</v>
      </c>
      <c r="R88" s="49">
        <f t="shared" si="61"/>
        <v>0.86240000000000006</v>
      </c>
    </row>
    <row r="89" spans="1:18" x14ac:dyDescent="0.2">
      <c r="A89" s="75"/>
      <c r="B89" s="76" t="s">
        <v>17</v>
      </c>
      <c r="C89" s="76"/>
      <c r="D89" s="76"/>
      <c r="E89" s="76"/>
      <c r="F89" s="76"/>
      <c r="G89" s="8">
        <f>SUM(G87:G88)</f>
        <v>65.239999999999995</v>
      </c>
      <c r="H89" s="71"/>
      <c r="L89" s="50"/>
      <c r="M89" s="51"/>
      <c r="N89" s="50"/>
      <c r="O89" s="51"/>
      <c r="P89" s="50"/>
      <c r="Q89" s="51"/>
      <c r="R89" s="49"/>
    </row>
    <row r="90" spans="1:18" x14ac:dyDescent="0.2">
      <c r="A90" s="6" t="s">
        <v>44</v>
      </c>
      <c r="B90" s="4">
        <v>200</v>
      </c>
      <c r="C90" s="4">
        <v>200</v>
      </c>
      <c r="D90" s="4">
        <f t="shared" si="62"/>
        <v>40000</v>
      </c>
      <c r="E90" s="4">
        <v>3880</v>
      </c>
      <c r="F90" s="4">
        <f t="shared" si="56"/>
        <v>14</v>
      </c>
      <c r="G90" s="8">
        <f t="shared" si="63"/>
        <v>54.32</v>
      </c>
      <c r="H90" s="10">
        <f>G90*D90/1000000</f>
        <v>2.1728000000000001</v>
      </c>
      <c r="I90" s="1">
        <v>2</v>
      </c>
      <c r="J90" s="1">
        <f t="shared" si="65"/>
        <v>7</v>
      </c>
      <c r="L90" s="50">
        <f t="shared" si="66"/>
        <v>6</v>
      </c>
      <c r="M90" s="51">
        <f t="shared" si="58"/>
        <v>0.93120000000000003</v>
      </c>
      <c r="N90" s="50">
        <f t="shared" si="67"/>
        <v>4</v>
      </c>
      <c r="O90" s="51">
        <f t="shared" si="59"/>
        <v>0.62080000000000002</v>
      </c>
      <c r="P90" s="50">
        <f>F90/7*2</f>
        <v>4</v>
      </c>
      <c r="Q90" s="51">
        <f t="shared" si="60"/>
        <v>0.62080000000000002</v>
      </c>
      <c r="R90" s="49">
        <f t="shared" si="61"/>
        <v>2.1728000000000001</v>
      </c>
    </row>
    <row r="91" spans="1:18" x14ac:dyDescent="0.2">
      <c r="A91" s="6" t="s">
        <v>46</v>
      </c>
      <c r="B91" s="4">
        <v>80</v>
      </c>
      <c r="C91" s="4">
        <v>200</v>
      </c>
      <c r="D91" s="4">
        <f t="shared" si="62"/>
        <v>16000</v>
      </c>
      <c r="E91" s="4">
        <v>1100</v>
      </c>
      <c r="F91" s="4">
        <f t="shared" si="56"/>
        <v>28</v>
      </c>
      <c r="G91" s="8">
        <f t="shared" si="63"/>
        <v>30.8</v>
      </c>
      <c r="H91" s="10">
        <f t="shared" si="64"/>
        <v>0.49280000000000002</v>
      </c>
      <c r="I91" s="1">
        <v>4</v>
      </c>
      <c r="J91" s="1">
        <f t="shared" si="65"/>
        <v>7</v>
      </c>
      <c r="L91" s="50">
        <f t="shared" si="66"/>
        <v>12</v>
      </c>
      <c r="M91" s="51">
        <f t="shared" si="58"/>
        <v>0.2112</v>
      </c>
      <c r="N91" s="50">
        <f t="shared" si="67"/>
        <v>8</v>
      </c>
      <c r="O91" s="51">
        <f t="shared" si="59"/>
        <v>0.14080000000000001</v>
      </c>
      <c r="P91" s="50">
        <f>F91/7*2</f>
        <v>8</v>
      </c>
      <c r="Q91" s="51">
        <f t="shared" si="60"/>
        <v>0.14080000000000001</v>
      </c>
      <c r="R91" s="49">
        <f t="shared" si="61"/>
        <v>0.49280000000000002</v>
      </c>
    </row>
    <row r="92" spans="1:18" x14ac:dyDescent="0.2">
      <c r="A92" s="6" t="s">
        <v>47</v>
      </c>
      <c r="B92" s="4">
        <v>80</v>
      </c>
      <c r="C92" s="4">
        <v>200</v>
      </c>
      <c r="D92" s="4">
        <f t="shared" si="62"/>
        <v>16000</v>
      </c>
      <c r="E92" s="4">
        <v>1120</v>
      </c>
      <c r="F92" s="4">
        <f t="shared" si="56"/>
        <v>56</v>
      </c>
      <c r="G92" s="8">
        <f t="shared" si="63"/>
        <v>62.72</v>
      </c>
      <c r="H92" s="10">
        <f t="shared" si="64"/>
        <v>1.00352</v>
      </c>
      <c r="I92" s="1">
        <v>8</v>
      </c>
      <c r="J92" s="1">
        <f t="shared" si="65"/>
        <v>7</v>
      </c>
      <c r="L92" s="50">
        <f t="shared" si="66"/>
        <v>24</v>
      </c>
      <c r="M92" s="51">
        <f t="shared" si="58"/>
        <v>0.43008000000000002</v>
      </c>
      <c r="N92" s="50">
        <f t="shared" si="67"/>
        <v>16</v>
      </c>
      <c r="O92" s="51">
        <f t="shared" si="59"/>
        <v>0.28671999999999997</v>
      </c>
      <c r="P92" s="50">
        <f>F92/7*2</f>
        <v>16</v>
      </c>
      <c r="Q92" s="51">
        <f t="shared" si="60"/>
        <v>0.28671999999999997</v>
      </c>
      <c r="R92" s="49">
        <f t="shared" si="61"/>
        <v>1.00352</v>
      </c>
    </row>
    <row r="93" spans="1:18" x14ac:dyDescent="0.2">
      <c r="A93" s="72" t="s">
        <v>17</v>
      </c>
      <c r="B93" s="72"/>
      <c r="C93" s="72"/>
      <c r="D93" s="72"/>
      <c r="E93" s="72"/>
      <c r="F93" s="72"/>
      <c r="G93" s="72"/>
      <c r="H93" s="8">
        <f>SUM(H81:H92)</f>
        <v>18.957120000000003</v>
      </c>
      <c r="L93" s="50"/>
      <c r="M93" s="52">
        <f>SUM(M81:M92)</f>
        <v>7.7244799999999998</v>
      </c>
      <c r="N93" s="50"/>
      <c r="O93" s="52">
        <f>SUM(O81:O92)</f>
        <v>5.61632</v>
      </c>
      <c r="P93" s="50"/>
      <c r="Q93" s="52">
        <f>SUM(Q81:Q92)</f>
        <v>5.61632</v>
      </c>
      <c r="R93" s="49">
        <f>Q93+O93+M93</f>
        <v>18.95712</v>
      </c>
    </row>
  </sheetData>
  <mergeCells count="137">
    <mergeCell ref="A2:H2"/>
    <mergeCell ref="B20:F20"/>
    <mergeCell ref="B17:B19"/>
    <mergeCell ref="C17:C19"/>
    <mergeCell ref="D17:D19"/>
    <mergeCell ref="H6:H9"/>
    <mergeCell ref="H17:H19"/>
    <mergeCell ref="B3:D3"/>
    <mergeCell ref="B6:B9"/>
    <mergeCell ref="C6:C9"/>
    <mergeCell ref="D6:D9"/>
    <mergeCell ref="A6:A10"/>
    <mergeCell ref="B10:F10"/>
    <mergeCell ref="A31:A35"/>
    <mergeCell ref="B31:B34"/>
    <mergeCell ref="C31:C34"/>
    <mergeCell ref="D31:D34"/>
    <mergeCell ref="H31:H34"/>
    <mergeCell ref="B35:F35"/>
    <mergeCell ref="A3:A5"/>
    <mergeCell ref="A24:G24"/>
    <mergeCell ref="A27:H27"/>
    <mergeCell ref="A28:A30"/>
    <mergeCell ref="B28:D28"/>
    <mergeCell ref="E28:H28"/>
    <mergeCell ref="A17:A20"/>
    <mergeCell ref="E3:H3"/>
    <mergeCell ref="A12:A14"/>
    <mergeCell ref="H12:H13"/>
    <mergeCell ref="J12:J13"/>
    <mergeCell ref="J17:J20"/>
    <mergeCell ref="K17:K19"/>
    <mergeCell ref="A63:A64"/>
    <mergeCell ref="A68:A70"/>
    <mergeCell ref="B68:B69"/>
    <mergeCell ref="C68:C69"/>
    <mergeCell ref="D68:D69"/>
    <mergeCell ref="A56:A61"/>
    <mergeCell ref="B56:B60"/>
    <mergeCell ref="C56:C60"/>
    <mergeCell ref="D56:D60"/>
    <mergeCell ref="H56:H60"/>
    <mergeCell ref="B61:F61"/>
    <mergeCell ref="H42:H44"/>
    <mergeCell ref="B45:F45"/>
    <mergeCell ref="A49:G49"/>
    <mergeCell ref="A52:H52"/>
    <mergeCell ref="A53:A55"/>
    <mergeCell ref="B53:D53"/>
    <mergeCell ref="E53:H53"/>
    <mergeCell ref="A37:A38"/>
    <mergeCell ref="A42:A45"/>
    <mergeCell ref="B42:B44"/>
    <mergeCell ref="J2:Q2"/>
    <mergeCell ref="J3:J5"/>
    <mergeCell ref="K3:M3"/>
    <mergeCell ref="N3:Q3"/>
    <mergeCell ref="J6:J10"/>
    <mergeCell ref="K6:K9"/>
    <mergeCell ref="L6:L9"/>
    <mergeCell ref="M6:M9"/>
    <mergeCell ref="Q6:Q9"/>
    <mergeCell ref="K10:O10"/>
    <mergeCell ref="N28:Q28"/>
    <mergeCell ref="J31:J35"/>
    <mergeCell ref="K31:K34"/>
    <mergeCell ref="L31:L34"/>
    <mergeCell ref="M31:M34"/>
    <mergeCell ref="Q31:Q34"/>
    <mergeCell ref="K35:O35"/>
    <mergeCell ref="L17:L19"/>
    <mergeCell ref="M17:M19"/>
    <mergeCell ref="Q17:Q19"/>
    <mergeCell ref="K20:O20"/>
    <mergeCell ref="J24:P24"/>
    <mergeCell ref="AM5:AM7"/>
    <mergeCell ref="AG8:AO8"/>
    <mergeCell ref="A77:H77"/>
    <mergeCell ref="AF2:AO2"/>
    <mergeCell ref="AF3:AF4"/>
    <mergeCell ref="AG3:AI3"/>
    <mergeCell ref="AJ3:AL3"/>
    <mergeCell ref="AM3:AO3"/>
    <mergeCell ref="Q68:Q69"/>
    <mergeCell ref="K70:O70"/>
    <mergeCell ref="J74:P74"/>
    <mergeCell ref="Y3:AA3"/>
    <mergeCell ref="V3:X3"/>
    <mergeCell ref="AB3:AD3"/>
    <mergeCell ref="U2:AD2"/>
    <mergeCell ref="V5:V7"/>
    <mergeCell ref="Y5:Y7"/>
    <mergeCell ref="AB5:AB7"/>
    <mergeCell ref="V8:AD8"/>
    <mergeCell ref="U3:U4"/>
    <mergeCell ref="J63:J64"/>
    <mergeCell ref="J68:J70"/>
    <mergeCell ref="K68:K69"/>
    <mergeCell ref="L68:L69"/>
    <mergeCell ref="AG5:AG7"/>
    <mergeCell ref="AJ5:AJ7"/>
    <mergeCell ref="M68:M69"/>
    <mergeCell ref="J56:J61"/>
    <mergeCell ref="K56:K60"/>
    <mergeCell ref="L56:L60"/>
    <mergeCell ref="M56:M60"/>
    <mergeCell ref="Q56:Q60"/>
    <mergeCell ref="K61:O61"/>
    <mergeCell ref="Q42:Q44"/>
    <mergeCell ref="K45:O45"/>
    <mergeCell ref="J49:P49"/>
    <mergeCell ref="J52:Q52"/>
    <mergeCell ref="J53:J55"/>
    <mergeCell ref="K53:M53"/>
    <mergeCell ref="N53:Q53"/>
    <mergeCell ref="J37:J38"/>
    <mergeCell ref="J42:J45"/>
    <mergeCell ref="K42:K44"/>
    <mergeCell ref="L42:L44"/>
    <mergeCell ref="M42:M44"/>
    <mergeCell ref="J27:Q27"/>
    <mergeCell ref="J28:J30"/>
    <mergeCell ref="K28:M28"/>
    <mergeCell ref="H37:H38"/>
    <mergeCell ref="H63:H64"/>
    <mergeCell ref="A93:G93"/>
    <mergeCell ref="A87:A89"/>
    <mergeCell ref="B89:F89"/>
    <mergeCell ref="H87:H89"/>
    <mergeCell ref="A78:A80"/>
    <mergeCell ref="B78:D78"/>
    <mergeCell ref="E78:H78"/>
    <mergeCell ref="H68:H69"/>
    <mergeCell ref="B70:F70"/>
    <mergeCell ref="A74:G74"/>
    <mergeCell ref="C42:C44"/>
    <mergeCell ref="D42:D44"/>
  </mergeCells>
  <pageMargins left="0.7" right="0.7" top="0.75" bottom="0.75" header="0.3" footer="0.3"/>
  <pageSetup paperSize="9" scale="60" orientation="portrait" r:id="rId1"/>
  <headerFooter>
    <oddHeader>&amp;L&amp;"Times New Roman,Normál"&amp;12Kisvárda, Csónakázó tó
Anyagkimutatás&amp;C&amp;P&amp;R&amp;"Times New Roman,Normál"&amp;12M-A1 melléklet</oddHeader>
  </headerFooter>
  <rowBreaks count="3" manualBreakCount="3">
    <brk id="25" max="38" man="1"/>
    <brk id="50" max="38" man="1"/>
    <brk id="74" max="38" man="1"/>
  </rowBreaks>
  <colBreaks count="3" manualBreakCount="3">
    <brk id="8" min="1" max="84" man="1"/>
    <brk id="20" min="1" max="84" man="1"/>
    <brk id="30" min="1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2"/>
  <sheetViews>
    <sheetView topLeftCell="A76" zoomScaleNormal="100" zoomScalePageLayoutView="70" workbookViewId="0">
      <selection activeCell="J96" sqref="J96"/>
    </sheetView>
  </sheetViews>
  <sheetFormatPr baseColWidth="10" defaultColWidth="9.1640625" defaultRowHeight="16" x14ac:dyDescent="0.2"/>
  <cols>
    <col min="1" max="1" width="15.83203125" style="1" bestFit="1" customWidth="1"/>
    <col min="2" max="2" width="6.6640625" style="1" bestFit="1" customWidth="1"/>
    <col min="3" max="3" width="6.5" style="1" bestFit="1" customWidth="1"/>
    <col min="4" max="4" width="13.83203125" style="1" bestFit="1" customWidth="1"/>
    <col min="5" max="5" width="9.5" style="1" bestFit="1" customWidth="1"/>
    <col min="6" max="6" width="8.5" style="1" bestFit="1" customWidth="1"/>
    <col min="7" max="8" width="9.1640625" style="1"/>
    <col min="9" max="9" width="13.83203125" style="1" bestFit="1" customWidth="1"/>
    <col min="10" max="10" width="14.83203125" style="1" bestFit="1" customWidth="1"/>
    <col min="11" max="11" width="7.5" style="1" bestFit="1" customWidth="1"/>
    <col min="12" max="12" width="13.6640625" style="1" bestFit="1" customWidth="1"/>
    <col min="13" max="13" width="9.33203125" style="1" bestFit="1" customWidth="1"/>
    <col min="14" max="14" width="8.1640625" style="1" bestFit="1" customWidth="1"/>
    <col min="15" max="15" width="13.6640625" style="1" bestFit="1" customWidth="1"/>
    <col min="16" max="16" width="9.33203125" style="1" bestFit="1" customWidth="1"/>
    <col min="17" max="17" width="8.1640625" style="1" bestFit="1" customWidth="1"/>
    <col min="18" max="18" width="13.6640625" style="1" bestFit="1" customWidth="1"/>
    <col min="19" max="19" width="9.33203125" style="1" bestFit="1" customWidth="1"/>
    <col min="20" max="20" width="8.1640625" style="1" bestFit="1" customWidth="1"/>
    <col min="21" max="21" width="12.5" style="1" bestFit="1" customWidth="1"/>
    <col min="22" max="22" width="8.1640625" style="1" bestFit="1" customWidth="1"/>
    <col min="23" max="23" width="13.6640625" style="1" bestFit="1" customWidth="1"/>
    <col min="24" max="24" width="9.33203125" style="1" bestFit="1" customWidth="1"/>
    <col min="25" max="25" width="8.1640625" style="1" bestFit="1" customWidth="1"/>
    <col min="26" max="26" width="13.6640625" style="1" bestFit="1" customWidth="1"/>
    <col min="27" max="27" width="9.33203125" style="1" bestFit="1" customWidth="1"/>
    <col min="28" max="28" width="8.1640625" style="1" bestFit="1" customWidth="1"/>
    <col min="29" max="16384" width="9.1640625" style="1"/>
  </cols>
  <sheetData>
    <row r="1" spans="1:21" x14ac:dyDescent="0.2">
      <c r="A1" s="96" t="s">
        <v>49</v>
      </c>
      <c r="B1" s="96"/>
      <c r="C1" s="96"/>
      <c r="D1" s="42">
        <f>8000*6</f>
        <v>48000</v>
      </c>
    </row>
    <row r="2" spans="1:21" x14ac:dyDescent="0.2">
      <c r="A2" s="96" t="s">
        <v>48</v>
      </c>
      <c r="B2" s="96"/>
      <c r="C2" s="96"/>
      <c r="D2" s="42">
        <f>135000*1.15</f>
        <v>155250</v>
      </c>
      <c r="I2" s="41">
        <f>I25+I49+I73+I92</f>
        <v>16971774.75</v>
      </c>
    </row>
    <row r="3" spans="1:21" x14ac:dyDescent="0.2">
      <c r="J3" s="20"/>
      <c r="K3" s="20"/>
      <c r="L3" s="20"/>
      <c r="M3" s="20"/>
      <c r="N3" s="20"/>
      <c r="O3" s="20"/>
      <c r="P3" s="20"/>
      <c r="Q3" s="20"/>
    </row>
    <row r="4" spans="1:21" x14ac:dyDescent="0.2">
      <c r="A4" s="85" t="s">
        <v>7</v>
      </c>
      <c r="B4" s="85"/>
      <c r="C4" s="85"/>
      <c r="D4" s="85"/>
      <c r="E4" s="85"/>
      <c r="F4" s="85"/>
      <c r="G4" s="85"/>
      <c r="H4" s="85"/>
      <c r="I4" s="2"/>
      <c r="J4" s="28"/>
      <c r="K4" s="85" t="s">
        <v>27</v>
      </c>
      <c r="L4" s="85"/>
      <c r="M4" s="85"/>
      <c r="N4" s="85"/>
      <c r="O4" s="85"/>
      <c r="P4" s="85"/>
      <c r="Q4" s="85"/>
      <c r="R4" s="85"/>
      <c r="S4" s="85"/>
      <c r="T4" s="85"/>
    </row>
    <row r="5" spans="1:21" x14ac:dyDescent="0.2">
      <c r="A5" s="72"/>
      <c r="B5" s="72" t="s">
        <v>6</v>
      </c>
      <c r="C5" s="72"/>
      <c r="D5" s="72"/>
      <c r="E5" s="72" t="s">
        <v>11</v>
      </c>
      <c r="F5" s="72"/>
      <c r="G5" s="72"/>
      <c r="H5" s="72"/>
      <c r="I5" s="2"/>
      <c r="J5" s="29"/>
      <c r="K5" s="72" t="s">
        <v>31</v>
      </c>
      <c r="L5" s="72" t="s">
        <v>29</v>
      </c>
      <c r="M5" s="72"/>
      <c r="N5" s="72"/>
      <c r="O5" s="72" t="s">
        <v>5</v>
      </c>
      <c r="P5" s="72"/>
      <c r="Q5" s="72"/>
      <c r="R5" s="72" t="s">
        <v>30</v>
      </c>
      <c r="S5" s="72"/>
      <c r="T5" s="72"/>
    </row>
    <row r="6" spans="1:21" x14ac:dyDescent="0.2">
      <c r="A6" s="72"/>
      <c r="B6" s="6" t="s">
        <v>3</v>
      </c>
      <c r="C6" s="6" t="s">
        <v>4</v>
      </c>
      <c r="D6" s="6" t="s">
        <v>5</v>
      </c>
      <c r="E6" s="6" t="s">
        <v>12</v>
      </c>
      <c r="F6" s="6" t="s">
        <v>13</v>
      </c>
      <c r="G6" s="6" t="s">
        <v>16</v>
      </c>
      <c r="H6" s="6" t="s">
        <v>18</v>
      </c>
      <c r="I6" s="2"/>
      <c r="J6" s="29"/>
      <c r="K6" s="72"/>
      <c r="L6" s="6" t="s">
        <v>34</v>
      </c>
      <c r="M6" s="6" t="s">
        <v>32</v>
      </c>
      <c r="N6" s="6" t="s">
        <v>33</v>
      </c>
      <c r="O6" s="6" t="s">
        <v>34</v>
      </c>
      <c r="P6" s="6" t="s">
        <v>32</v>
      </c>
      <c r="Q6" s="6" t="s">
        <v>33</v>
      </c>
      <c r="R6" s="6" t="s">
        <v>34</v>
      </c>
      <c r="S6" s="6" t="s">
        <v>32</v>
      </c>
      <c r="T6" s="6" t="s">
        <v>33</v>
      </c>
      <c r="U6" s="12" t="s">
        <v>50</v>
      </c>
    </row>
    <row r="7" spans="1:21" ht="18" x14ac:dyDescent="0.2">
      <c r="A7" s="72"/>
      <c r="B7" s="6" t="s">
        <v>9</v>
      </c>
      <c r="C7" s="6" t="s">
        <v>9</v>
      </c>
      <c r="D7" s="6" t="s">
        <v>10</v>
      </c>
      <c r="E7" s="6" t="s">
        <v>9</v>
      </c>
      <c r="F7" s="6" t="s">
        <v>14</v>
      </c>
      <c r="G7" s="6" t="s">
        <v>8</v>
      </c>
      <c r="H7" s="6" t="s">
        <v>19</v>
      </c>
      <c r="I7" s="2"/>
      <c r="J7" s="29"/>
      <c r="K7" s="6" t="s">
        <v>28</v>
      </c>
      <c r="L7" s="76">
        <v>2</v>
      </c>
      <c r="M7" s="4">
        <v>2</v>
      </c>
      <c r="N7" s="4">
        <f>$L$7*M7</f>
        <v>4</v>
      </c>
      <c r="O7" s="76">
        <v>8</v>
      </c>
      <c r="P7" s="4">
        <v>2</v>
      </c>
      <c r="Q7" s="4">
        <f>$O$7*P7</f>
        <v>16</v>
      </c>
      <c r="R7" s="76">
        <v>18</v>
      </c>
      <c r="S7" s="4">
        <v>3</v>
      </c>
      <c r="T7" s="4">
        <f>$R$7*S7</f>
        <v>54</v>
      </c>
      <c r="U7" s="45">
        <f>(N7+Q7+T7)*$D$1</f>
        <v>3552000</v>
      </c>
    </row>
    <row r="8" spans="1:21" x14ac:dyDescent="0.2">
      <c r="A8" s="72" t="s">
        <v>15</v>
      </c>
      <c r="B8" s="76">
        <v>100</v>
      </c>
      <c r="C8" s="76">
        <v>200</v>
      </c>
      <c r="D8" s="76">
        <f>B8*C8</f>
        <v>20000</v>
      </c>
      <c r="E8" s="5">
        <v>3275</v>
      </c>
      <c r="F8" s="4">
        <f>2*2*4*1</f>
        <v>16</v>
      </c>
      <c r="G8" s="10">
        <f>F8*E8/1000</f>
        <v>52.4</v>
      </c>
      <c r="H8" s="92"/>
      <c r="I8" s="2"/>
      <c r="J8" s="29"/>
      <c r="K8" s="6" t="s">
        <v>35</v>
      </c>
      <c r="L8" s="76"/>
      <c r="M8" s="4">
        <v>2</v>
      </c>
      <c r="N8" s="4">
        <f>$L$7*M8</f>
        <v>4</v>
      </c>
      <c r="O8" s="76"/>
      <c r="P8" s="4">
        <v>2</v>
      </c>
      <c r="Q8" s="4">
        <f>$O$7*P8</f>
        <v>16</v>
      </c>
      <c r="R8" s="76"/>
      <c r="S8" s="4">
        <v>2</v>
      </c>
      <c r="T8" s="4">
        <f>$R$7*S8</f>
        <v>36</v>
      </c>
      <c r="U8" s="45">
        <f t="shared" ref="U8:U9" si="0">(N8+Q8+T8)*$D$1</f>
        <v>2688000</v>
      </c>
    </row>
    <row r="9" spans="1:21" x14ac:dyDescent="0.2">
      <c r="A9" s="72"/>
      <c r="B9" s="76"/>
      <c r="C9" s="76"/>
      <c r="D9" s="76"/>
      <c r="E9" s="5">
        <v>2350</v>
      </c>
      <c r="F9" s="4">
        <f>2*2*4*1</f>
        <v>16</v>
      </c>
      <c r="G9" s="10">
        <f t="shared" ref="G9:G18" si="1">F9*E9/1000</f>
        <v>37.6</v>
      </c>
      <c r="H9" s="93"/>
      <c r="I9" s="2"/>
      <c r="J9" s="29"/>
      <c r="K9" s="6" t="s">
        <v>36</v>
      </c>
      <c r="L9" s="76"/>
      <c r="M9" s="4">
        <v>2</v>
      </c>
      <c r="N9" s="4">
        <f>$L$7*M9</f>
        <v>4</v>
      </c>
      <c r="O9" s="76"/>
      <c r="P9" s="4">
        <v>2</v>
      </c>
      <c r="Q9" s="4">
        <f>$O$7*P9</f>
        <v>16</v>
      </c>
      <c r="R9" s="76"/>
      <c r="S9" s="4">
        <v>2</v>
      </c>
      <c r="T9" s="4">
        <f>$R$7*S9</f>
        <v>36</v>
      </c>
      <c r="U9" s="45">
        <f t="shared" si="0"/>
        <v>2688000</v>
      </c>
    </row>
    <row r="10" spans="1:21" x14ac:dyDescent="0.2">
      <c r="A10" s="72"/>
      <c r="B10" s="76"/>
      <c r="C10" s="76"/>
      <c r="D10" s="76"/>
      <c r="E10" s="5">
        <v>9450</v>
      </c>
      <c r="F10" s="4">
        <f>2*2*4*2</f>
        <v>32</v>
      </c>
      <c r="G10" s="10">
        <f t="shared" si="1"/>
        <v>302.39999999999998</v>
      </c>
      <c r="H10" s="93"/>
      <c r="I10" s="2"/>
      <c r="J10" s="29"/>
      <c r="K10" s="6" t="s">
        <v>17</v>
      </c>
      <c r="L10" s="72">
        <f>SUM(N7:N9)+SUM(Q7:Q9)+SUM(T7:T9)</f>
        <v>186</v>
      </c>
      <c r="M10" s="72"/>
      <c r="N10" s="72"/>
      <c r="O10" s="72"/>
      <c r="P10" s="72"/>
      <c r="Q10" s="72"/>
      <c r="R10" s="72"/>
      <c r="S10" s="72"/>
      <c r="T10" s="72"/>
      <c r="U10" s="44">
        <f>L10*$D$1</f>
        <v>8928000</v>
      </c>
    </row>
    <row r="11" spans="1:21" x14ac:dyDescent="0.2">
      <c r="A11" s="72"/>
      <c r="B11" s="76"/>
      <c r="C11" s="76"/>
      <c r="D11" s="76"/>
      <c r="E11" s="5">
        <v>7450</v>
      </c>
      <c r="F11" s="4">
        <f>2*2*4*1.5</f>
        <v>24</v>
      </c>
      <c r="G11" s="10">
        <f t="shared" si="1"/>
        <v>178.8</v>
      </c>
      <c r="H11" s="94"/>
      <c r="I11" s="2"/>
      <c r="J11" s="29"/>
      <c r="K11" s="29"/>
      <c r="L11" s="29"/>
      <c r="M11" s="29"/>
      <c r="N11" s="22"/>
      <c r="O11" s="21"/>
      <c r="P11" s="23"/>
      <c r="Q11" s="29"/>
    </row>
    <row r="12" spans="1:21" x14ac:dyDescent="0.2">
      <c r="A12" s="72"/>
      <c r="B12" s="76" t="s">
        <v>17</v>
      </c>
      <c r="C12" s="76"/>
      <c r="D12" s="76"/>
      <c r="E12" s="76"/>
      <c r="F12" s="76"/>
      <c r="G12" s="8">
        <f>SUM(G8:G11)</f>
        <v>571.20000000000005</v>
      </c>
      <c r="H12" s="10">
        <f>G12*D8/1000000</f>
        <v>11.423999999999999</v>
      </c>
      <c r="I12" s="2"/>
      <c r="J12" s="29"/>
      <c r="K12" s="29"/>
      <c r="L12" s="29"/>
      <c r="M12" s="29"/>
      <c r="N12" s="29"/>
      <c r="O12" s="29"/>
      <c r="P12" s="23"/>
      <c r="Q12" s="23"/>
    </row>
    <row r="13" spans="1:21" x14ac:dyDescent="0.2">
      <c r="A13" s="6" t="s">
        <v>0</v>
      </c>
      <c r="B13" s="4">
        <v>50</v>
      </c>
      <c r="C13" s="4">
        <v>200</v>
      </c>
      <c r="D13" s="4">
        <f t="shared" ref="D13" si="2">B13*C13</f>
        <v>10000</v>
      </c>
      <c r="E13" s="4">
        <v>1550</v>
      </c>
      <c r="F13" s="4">
        <f>2*2*2*28</f>
        <v>224</v>
      </c>
      <c r="G13" s="8">
        <f t="shared" si="1"/>
        <v>347.2</v>
      </c>
      <c r="H13" s="10">
        <f>G13*D13/1000000</f>
        <v>3.472</v>
      </c>
      <c r="I13" s="2"/>
      <c r="J13" s="21"/>
    </row>
    <row r="14" spans="1:21" x14ac:dyDescent="0.2">
      <c r="A14" s="72" t="s">
        <v>1</v>
      </c>
      <c r="B14" s="4">
        <v>80</v>
      </c>
      <c r="C14" s="4">
        <v>200</v>
      </c>
      <c r="D14" s="4">
        <f>B14*C14</f>
        <v>16000</v>
      </c>
      <c r="E14" s="4">
        <v>2400</v>
      </c>
      <c r="F14" s="4">
        <f>2*2*2*22</f>
        <v>176</v>
      </c>
      <c r="G14" s="8">
        <f t="shared" si="1"/>
        <v>422.4</v>
      </c>
      <c r="H14" s="10">
        <f t="shared" ref="H14:H17" si="3">G14*D14/1000000</f>
        <v>6.7584</v>
      </c>
      <c r="I14" s="2"/>
      <c r="J14" s="29"/>
    </row>
    <row r="15" spans="1:21" x14ac:dyDescent="0.2">
      <c r="A15" s="72"/>
      <c r="B15" s="4">
        <v>40</v>
      </c>
      <c r="C15" s="4">
        <v>200</v>
      </c>
      <c r="D15" s="4">
        <f>B15*C15</f>
        <v>8000</v>
      </c>
      <c r="E15" s="4">
        <v>2400</v>
      </c>
      <c r="F15" s="4">
        <f>2*2*22</f>
        <v>88</v>
      </c>
      <c r="G15" s="8">
        <f t="shared" si="1"/>
        <v>211.2</v>
      </c>
      <c r="H15" s="10">
        <f t="shared" si="3"/>
        <v>1.6896</v>
      </c>
      <c r="I15" s="2"/>
      <c r="J15" s="29"/>
    </row>
    <row r="16" spans="1:21" x14ac:dyDescent="0.2">
      <c r="A16" s="6" t="s">
        <v>20</v>
      </c>
      <c r="B16" s="4">
        <v>100</v>
      </c>
      <c r="C16" s="4">
        <v>200</v>
      </c>
      <c r="D16" s="4">
        <f>B16*C16</f>
        <v>20000</v>
      </c>
      <c r="E16" s="4">
        <v>4640</v>
      </c>
      <c r="F16" s="4">
        <f>2*31</f>
        <v>62</v>
      </c>
      <c r="G16" s="8">
        <f t="shared" si="1"/>
        <v>287.68</v>
      </c>
      <c r="H16" s="10">
        <f t="shared" si="3"/>
        <v>5.7535999999999996</v>
      </c>
      <c r="I16" s="2"/>
      <c r="J16" s="21"/>
    </row>
    <row r="17" spans="1:17" x14ac:dyDescent="0.2">
      <c r="A17" s="6" t="s">
        <v>22</v>
      </c>
      <c r="B17" s="4">
        <v>100</v>
      </c>
      <c r="C17" s="4">
        <v>100</v>
      </c>
      <c r="D17" s="4">
        <f>B17*C17</f>
        <v>10000</v>
      </c>
      <c r="E17" s="4">
        <v>1300</v>
      </c>
      <c r="F17" s="4">
        <f>2*2*31</f>
        <v>124</v>
      </c>
      <c r="G17" s="8">
        <f t="shared" si="1"/>
        <v>161.19999999999999</v>
      </c>
      <c r="H17" s="10">
        <f t="shared" si="3"/>
        <v>1.6120000000000001</v>
      </c>
      <c r="I17" s="2"/>
      <c r="J17" s="21"/>
    </row>
    <row r="18" spans="1:17" x14ac:dyDescent="0.2">
      <c r="A18" s="72" t="s">
        <v>21</v>
      </c>
      <c r="B18" s="76">
        <v>50</v>
      </c>
      <c r="C18" s="76">
        <v>200</v>
      </c>
      <c r="D18" s="76">
        <f>B18*C18</f>
        <v>10000</v>
      </c>
      <c r="E18" s="4">
        <v>3770</v>
      </c>
      <c r="F18" s="4">
        <f>2*10</f>
        <v>20</v>
      </c>
      <c r="G18" s="9">
        <f t="shared" si="1"/>
        <v>75.400000000000006</v>
      </c>
      <c r="H18" s="91"/>
      <c r="I18" s="2"/>
      <c r="J18" s="29"/>
    </row>
    <row r="19" spans="1:17" x14ac:dyDescent="0.2">
      <c r="A19" s="72"/>
      <c r="B19" s="76"/>
      <c r="C19" s="76"/>
      <c r="D19" s="76"/>
      <c r="E19" s="4">
        <v>3940</v>
      </c>
      <c r="F19" s="4">
        <v>2</v>
      </c>
      <c r="G19" s="9">
        <f>F19*E19/1000</f>
        <v>7.88</v>
      </c>
      <c r="H19" s="91"/>
      <c r="I19" s="2"/>
      <c r="J19" s="29"/>
    </row>
    <row r="20" spans="1:17" x14ac:dyDescent="0.2">
      <c r="A20" s="72"/>
      <c r="B20" s="76"/>
      <c r="C20" s="76"/>
      <c r="D20" s="76"/>
      <c r="E20" s="4">
        <v>5020</v>
      </c>
      <c r="F20" s="4">
        <v>2</v>
      </c>
      <c r="G20" s="9">
        <f>F20*E20/1000</f>
        <v>10.039999999999999</v>
      </c>
      <c r="H20" s="91"/>
      <c r="I20" s="2"/>
      <c r="J20" s="29"/>
      <c r="K20" s="29"/>
      <c r="L20" s="29"/>
      <c r="M20" s="29"/>
      <c r="N20" s="21"/>
      <c r="O20" s="21"/>
      <c r="P20" s="23"/>
      <c r="Q20" s="30"/>
    </row>
    <row r="21" spans="1:17" x14ac:dyDescent="0.2">
      <c r="A21" s="72"/>
      <c r="B21" s="76" t="s">
        <v>17</v>
      </c>
      <c r="C21" s="76"/>
      <c r="D21" s="76"/>
      <c r="E21" s="76"/>
      <c r="F21" s="76"/>
      <c r="G21" s="8">
        <f>SUM(G18:G20)</f>
        <v>93.32</v>
      </c>
      <c r="H21" s="10">
        <f>G21*D18/1000000</f>
        <v>0.93319999999999992</v>
      </c>
      <c r="I21" s="2"/>
      <c r="J21" s="29"/>
      <c r="K21" s="29"/>
      <c r="M21" s="29"/>
      <c r="N21" s="29"/>
      <c r="O21" s="29"/>
      <c r="P21" s="23"/>
      <c r="Q21" s="23"/>
    </row>
    <row r="22" spans="1:17" x14ac:dyDescent="0.2">
      <c r="A22" s="6" t="s">
        <v>2</v>
      </c>
      <c r="B22" s="4">
        <v>50</v>
      </c>
      <c r="C22" s="4">
        <v>200</v>
      </c>
      <c r="D22" s="4">
        <f>B22*C22</f>
        <v>10000</v>
      </c>
      <c r="E22" s="4">
        <v>35750</v>
      </c>
      <c r="F22" s="4">
        <f>2*2*7</f>
        <v>28</v>
      </c>
      <c r="G22" s="8">
        <f t="shared" ref="G22:G24" si="4">F22*E22/1000</f>
        <v>1001</v>
      </c>
      <c r="H22" s="10">
        <f>G22*D22/1000000</f>
        <v>10.01</v>
      </c>
      <c r="I22" s="2"/>
      <c r="J22" s="21"/>
      <c r="K22" s="21"/>
      <c r="L22" s="21"/>
      <c r="M22" s="21"/>
      <c r="N22" s="21"/>
      <c r="O22" s="21"/>
      <c r="P22" s="23"/>
      <c r="Q22" s="23"/>
    </row>
    <row r="23" spans="1:17" x14ac:dyDescent="0.2">
      <c r="A23" s="12" t="s">
        <v>51</v>
      </c>
      <c r="B23" s="11">
        <v>20</v>
      </c>
      <c r="C23" s="11">
        <v>150</v>
      </c>
      <c r="D23" s="11">
        <f t="shared" ref="D23:D24" si="5">B23*C23</f>
        <v>3000</v>
      </c>
      <c r="E23" s="11">
        <f>E22*2</f>
        <v>71500</v>
      </c>
      <c r="F23" s="11">
        <f>2*2</f>
        <v>4</v>
      </c>
      <c r="G23" s="8">
        <f t="shared" si="4"/>
        <v>286</v>
      </c>
      <c r="H23" s="13">
        <f>G23*D23/1000000</f>
        <v>0.85799999999999998</v>
      </c>
      <c r="I23" s="2"/>
      <c r="J23" s="21"/>
      <c r="K23" s="21"/>
      <c r="L23" s="21"/>
      <c r="M23" s="21"/>
      <c r="N23" s="21"/>
      <c r="O23" s="21"/>
      <c r="P23" s="23"/>
      <c r="Q23" s="23"/>
    </row>
    <row r="24" spans="1:17" x14ac:dyDescent="0.2">
      <c r="A24" s="12" t="s">
        <v>52</v>
      </c>
      <c r="B24" s="11">
        <v>10</v>
      </c>
      <c r="C24" s="11">
        <f>250*4</f>
        <v>1000</v>
      </c>
      <c r="D24" s="11">
        <f t="shared" si="5"/>
        <v>10000</v>
      </c>
      <c r="E24" s="11">
        <f>E23</f>
        <v>71500</v>
      </c>
      <c r="F24" s="11">
        <v>2</v>
      </c>
      <c r="G24" s="8">
        <f t="shared" si="4"/>
        <v>143</v>
      </c>
      <c r="H24" s="13">
        <f>G24*D24/1000000</f>
        <v>1.43</v>
      </c>
      <c r="I24" s="2"/>
      <c r="J24" s="21"/>
      <c r="K24" s="21"/>
      <c r="L24" s="21"/>
      <c r="M24" s="21"/>
      <c r="N24" s="21"/>
      <c r="O24" s="21"/>
      <c r="P24" s="23"/>
      <c r="Q24" s="23"/>
    </row>
    <row r="25" spans="1:17" x14ac:dyDescent="0.2">
      <c r="A25" s="72" t="s">
        <v>17</v>
      </c>
      <c r="B25" s="72"/>
      <c r="C25" s="72"/>
      <c r="D25" s="72"/>
      <c r="E25" s="72"/>
      <c r="F25" s="72"/>
      <c r="G25" s="72"/>
      <c r="H25" s="8">
        <f>SUM(H8:H24)</f>
        <v>43.940799999999989</v>
      </c>
      <c r="I25" s="43">
        <f>H25*$D$2</f>
        <v>6821809.1999999983</v>
      </c>
      <c r="J25" s="29"/>
      <c r="K25" s="29"/>
      <c r="L25" s="29"/>
      <c r="M25" s="29"/>
      <c r="N25" s="29"/>
      <c r="O25" s="29"/>
      <c r="P25" s="29"/>
      <c r="Q25" s="23"/>
    </row>
    <row r="26" spans="1:17" x14ac:dyDescent="0.2">
      <c r="A26" s="2"/>
      <c r="B26" s="2"/>
      <c r="C26" s="2"/>
      <c r="D26" s="2"/>
      <c r="E26" s="2"/>
      <c r="F26" s="2"/>
      <c r="G26" s="2"/>
      <c r="I26" s="2"/>
      <c r="J26" s="24"/>
      <c r="K26" s="20"/>
      <c r="L26" s="20"/>
      <c r="M26" s="20"/>
      <c r="N26" s="20"/>
      <c r="O26" s="20"/>
      <c r="P26" s="20"/>
      <c r="Q26" s="20"/>
    </row>
    <row r="27" spans="1:17" x14ac:dyDescent="0.2">
      <c r="B27" s="2"/>
      <c r="C27" s="2"/>
      <c r="D27" s="2"/>
      <c r="E27" s="2"/>
      <c r="F27" s="2"/>
      <c r="G27" s="2"/>
      <c r="I27" s="2"/>
      <c r="J27" s="24"/>
      <c r="K27" s="20"/>
      <c r="L27" s="20"/>
      <c r="M27" s="20"/>
      <c r="N27" s="20"/>
      <c r="O27" s="20"/>
      <c r="P27" s="20"/>
      <c r="Q27" s="20"/>
    </row>
    <row r="28" spans="1:17" x14ac:dyDescent="0.2">
      <c r="A28" s="85" t="s">
        <v>23</v>
      </c>
      <c r="B28" s="85"/>
      <c r="C28" s="85"/>
      <c r="D28" s="85"/>
      <c r="E28" s="85"/>
      <c r="F28" s="85"/>
      <c r="G28" s="85"/>
      <c r="H28" s="85"/>
      <c r="I28" s="2"/>
      <c r="J28" s="28"/>
      <c r="K28" s="28"/>
      <c r="L28" s="28"/>
      <c r="M28" s="28"/>
      <c r="N28" s="28"/>
      <c r="O28" s="28"/>
      <c r="P28" s="28"/>
      <c r="Q28" s="28"/>
    </row>
    <row r="29" spans="1:17" x14ac:dyDescent="0.2">
      <c r="A29" s="72"/>
      <c r="B29" s="72" t="s">
        <v>6</v>
      </c>
      <c r="C29" s="72"/>
      <c r="D29" s="72"/>
      <c r="E29" s="72" t="s">
        <v>11</v>
      </c>
      <c r="F29" s="72"/>
      <c r="G29" s="72"/>
      <c r="H29" s="72"/>
      <c r="I29" s="2"/>
      <c r="J29" s="29"/>
      <c r="K29" s="29"/>
      <c r="L29" s="29"/>
      <c r="M29" s="29"/>
      <c r="N29" s="29"/>
      <c r="O29" s="29"/>
      <c r="P29" s="29"/>
      <c r="Q29" s="29"/>
    </row>
    <row r="30" spans="1:17" x14ac:dyDescent="0.2">
      <c r="A30" s="72"/>
      <c r="B30" s="6" t="s">
        <v>3</v>
      </c>
      <c r="C30" s="6" t="s">
        <v>4</v>
      </c>
      <c r="D30" s="6" t="s">
        <v>5</v>
      </c>
      <c r="E30" s="6" t="s">
        <v>12</v>
      </c>
      <c r="F30" s="6" t="s">
        <v>13</v>
      </c>
      <c r="G30" s="6" t="s">
        <v>16</v>
      </c>
      <c r="H30" s="6" t="s">
        <v>18</v>
      </c>
      <c r="I30" s="2"/>
      <c r="J30" s="29"/>
      <c r="K30" s="21"/>
      <c r="L30" s="21"/>
      <c r="M30" s="21"/>
      <c r="N30" s="21"/>
      <c r="O30" s="21"/>
      <c r="P30" s="21"/>
      <c r="Q30" s="21"/>
    </row>
    <row r="31" spans="1:17" ht="18" x14ac:dyDescent="0.2">
      <c r="A31" s="72"/>
      <c r="B31" s="6" t="s">
        <v>9</v>
      </c>
      <c r="C31" s="6" t="s">
        <v>9</v>
      </c>
      <c r="D31" s="6" t="s">
        <v>10</v>
      </c>
      <c r="E31" s="6" t="s">
        <v>9</v>
      </c>
      <c r="F31" s="6" t="s">
        <v>14</v>
      </c>
      <c r="G31" s="6" t="s">
        <v>8</v>
      </c>
      <c r="H31" s="6" t="s">
        <v>19</v>
      </c>
      <c r="I31" s="2"/>
      <c r="J31" s="29"/>
      <c r="K31" s="21"/>
      <c r="L31" s="21"/>
      <c r="M31" s="21"/>
      <c r="N31" s="21"/>
      <c r="O31" s="21"/>
      <c r="P31" s="21"/>
      <c r="Q31" s="21"/>
    </row>
    <row r="32" spans="1:17" x14ac:dyDescent="0.2">
      <c r="A32" s="72" t="s">
        <v>15</v>
      </c>
      <c r="B32" s="76">
        <v>100</v>
      </c>
      <c r="C32" s="76">
        <v>200</v>
      </c>
      <c r="D32" s="76">
        <f>B32*C32</f>
        <v>20000</v>
      </c>
      <c r="E32" s="5">
        <v>3275</v>
      </c>
      <c r="F32" s="4">
        <f>2*2*4*1</f>
        <v>16</v>
      </c>
      <c r="G32" s="10">
        <f>F32*E32/1000</f>
        <v>52.4</v>
      </c>
      <c r="H32" s="92"/>
      <c r="I32" s="2"/>
      <c r="J32" s="29"/>
      <c r="K32" s="29"/>
      <c r="L32" s="29"/>
      <c r="M32" s="29"/>
      <c r="N32" s="22"/>
      <c r="O32" s="21"/>
      <c r="P32" s="23"/>
      <c r="Q32" s="29"/>
    </row>
    <row r="33" spans="1:17" x14ac:dyDescent="0.2">
      <c r="A33" s="72"/>
      <c r="B33" s="76"/>
      <c r="C33" s="76"/>
      <c r="D33" s="76"/>
      <c r="E33" s="5">
        <v>2350</v>
      </c>
      <c r="F33" s="4">
        <f>2*2*4*1</f>
        <v>16</v>
      </c>
      <c r="G33" s="10">
        <f t="shared" ref="G33:G35" si="6">F33*E33/1000</f>
        <v>37.6</v>
      </c>
      <c r="H33" s="93"/>
      <c r="I33" s="2"/>
      <c r="J33" s="29"/>
      <c r="K33" s="29"/>
      <c r="L33" s="29"/>
      <c r="M33" s="29"/>
      <c r="N33" s="22"/>
      <c r="O33" s="21"/>
      <c r="P33" s="23"/>
      <c r="Q33" s="29"/>
    </row>
    <row r="34" spans="1:17" x14ac:dyDescent="0.2">
      <c r="A34" s="72"/>
      <c r="B34" s="76"/>
      <c r="C34" s="76"/>
      <c r="D34" s="76"/>
      <c r="E34" s="5">
        <v>9450</v>
      </c>
      <c r="F34" s="4">
        <f>2*2*3*2</f>
        <v>24</v>
      </c>
      <c r="G34" s="10">
        <f t="shared" si="6"/>
        <v>226.8</v>
      </c>
      <c r="H34" s="93"/>
      <c r="J34" s="29"/>
      <c r="K34" s="29"/>
      <c r="L34" s="29"/>
      <c r="M34" s="29"/>
      <c r="N34" s="22"/>
      <c r="O34" s="21"/>
      <c r="P34" s="23"/>
      <c r="Q34" s="29"/>
    </row>
    <row r="35" spans="1:17" x14ac:dyDescent="0.2">
      <c r="A35" s="72"/>
      <c r="B35" s="76"/>
      <c r="C35" s="76"/>
      <c r="D35" s="76"/>
      <c r="E35" s="5">
        <v>7450</v>
      </c>
      <c r="F35" s="4">
        <f>2*2*4</f>
        <v>16</v>
      </c>
      <c r="G35" s="10">
        <f t="shared" si="6"/>
        <v>119.2</v>
      </c>
      <c r="H35" s="94"/>
      <c r="J35" s="29"/>
      <c r="K35" s="29"/>
      <c r="L35" s="29"/>
      <c r="M35" s="29"/>
      <c r="N35" s="22"/>
      <c r="O35" s="21"/>
      <c r="P35" s="23"/>
      <c r="Q35" s="29"/>
    </row>
    <row r="36" spans="1:17" x14ac:dyDescent="0.2">
      <c r="A36" s="72"/>
      <c r="B36" s="76" t="s">
        <v>17</v>
      </c>
      <c r="C36" s="76"/>
      <c r="D36" s="76"/>
      <c r="E36" s="76"/>
      <c r="F36" s="76"/>
      <c r="G36" s="8">
        <f>SUM(G32:G35)</f>
        <v>436</v>
      </c>
      <c r="H36" s="10">
        <f>G36*D32/1000000</f>
        <v>8.7200000000000006</v>
      </c>
      <c r="J36" s="29"/>
      <c r="K36" s="29"/>
      <c r="L36" s="29"/>
      <c r="M36" s="29"/>
      <c r="N36" s="29"/>
      <c r="O36" s="29"/>
      <c r="P36" s="23"/>
      <c r="Q36" s="23"/>
    </row>
    <row r="37" spans="1:17" x14ac:dyDescent="0.2">
      <c r="A37" s="6" t="s">
        <v>0</v>
      </c>
      <c r="B37" s="4">
        <v>50</v>
      </c>
      <c r="C37" s="4">
        <v>200</v>
      </c>
      <c r="D37" s="4">
        <f t="shared" ref="D37" si="7">B37*C37</f>
        <v>10000</v>
      </c>
      <c r="E37" s="4">
        <v>1550</v>
      </c>
      <c r="F37" s="4">
        <f>2*2*(2*21+1)</f>
        <v>172</v>
      </c>
      <c r="G37" s="8">
        <f t="shared" ref="G37:G42" si="8">F37*E37/1000</f>
        <v>266.60000000000002</v>
      </c>
      <c r="H37" s="10">
        <f>G37*D37/1000000</f>
        <v>2.6659999999999999</v>
      </c>
      <c r="J37" s="21"/>
      <c r="K37" s="21"/>
      <c r="L37" s="21"/>
      <c r="M37" s="21"/>
      <c r="N37" s="21"/>
      <c r="O37" s="21"/>
      <c r="P37" s="23"/>
      <c r="Q37" s="23"/>
    </row>
    <row r="38" spans="1:17" x14ac:dyDescent="0.2">
      <c r="A38" s="72" t="s">
        <v>1</v>
      </c>
      <c r="B38" s="4">
        <v>80</v>
      </c>
      <c r="C38" s="4">
        <v>200</v>
      </c>
      <c r="D38" s="4">
        <f>B38*C38</f>
        <v>16000</v>
      </c>
      <c r="E38" s="4">
        <v>2400</v>
      </c>
      <c r="F38" s="4">
        <f>2*2*(2*16+1)</f>
        <v>132</v>
      </c>
      <c r="G38" s="8">
        <f t="shared" si="8"/>
        <v>316.8</v>
      </c>
      <c r="H38" s="10">
        <f t="shared" ref="H38:H41" si="9">G38*D38/1000000</f>
        <v>5.0688000000000004</v>
      </c>
      <c r="J38" s="29"/>
      <c r="K38" s="21"/>
      <c r="L38" s="21"/>
      <c r="M38" s="21"/>
      <c r="N38" s="21"/>
      <c r="O38" s="21"/>
      <c r="P38" s="23"/>
      <c r="Q38" s="23"/>
    </row>
    <row r="39" spans="1:17" x14ac:dyDescent="0.2">
      <c r="A39" s="72"/>
      <c r="B39" s="4">
        <v>40</v>
      </c>
      <c r="C39" s="4">
        <v>200</v>
      </c>
      <c r="D39" s="4">
        <f>B39*C39</f>
        <v>8000</v>
      </c>
      <c r="E39" s="4">
        <v>2400</v>
      </c>
      <c r="F39" s="4">
        <f>2*(2*16+1)</f>
        <v>66</v>
      </c>
      <c r="G39" s="8">
        <f t="shared" si="8"/>
        <v>158.4</v>
      </c>
      <c r="H39" s="10">
        <f t="shared" si="9"/>
        <v>1.2672000000000001</v>
      </c>
      <c r="J39" s="29"/>
      <c r="K39" s="21"/>
      <c r="L39" s="21"/>
      <c r="M39" s="21"/>
      <c r="N39" s="21"/>
      <c r="O39" s="21"/>
      <c r="P39" s="23"/>
      <c r="Q39" s="23"/>
    </row>
    <row r="40" spans="1:17" x14ac:dyDescent="0.2">
      <c r="A40" s="6" t="s">
        <v>20</v>
      </c>
      <c r="B40" s="4">
        <v>100</v>
      </c>
      <c r="C40" s="4">
        <v>200</v>
      </c>
      <c r="D40" s="4">
        <f>B40*C40</f>
        <v>20000</v>
      </c>
      <c r="E40" s="4">
        <v>4640</v>
      </c>
      <c r="F40" s="4">
        <f>2*24</f>
        <v>48</v>
      </c>
      <c r="G40" s="8">
        <f t="shared" si="8"/>
        <v>222.72</v>
      </c>
      <c r="H40" s="10">
        <f t="shared" si="9"/>
        <v>4.4543999999999997</v>
      </c>
      <c r="J40" s="21"/>
      <c r="K40" s="21"/>
      <c r="L40" s="21"/>
      <c r="M40" s="21"/>
      <c r="N40" s="21"/>
      <c r="O40" s="21"/>
      <c r="P40" s="23"/>
      <c r="Q40" s="23"/>
    </row>
    <row r="41" spans="1:17" x14ac:dyDescent="0.2">
      <c r="A41" s="6" t="s">
        <v>22</v>
      </c>
      <c r="B41" s="4">
        <v>100</v>
      </c>
      <c r="C41" s="4">
        <v>100</v>
      </c>
      <c r="D41" s="4">
        <f>B41*C41</f>
        <v>10000</v>
      </c>
      <c r="E41" s="4">
        <v>1300</v>
      </c>
      <c r="F41" s="4">
        <f>2*2*24</f>
        <v>96</v>
      </c>
      <c r="G41" s="8">
        <f t="shared" si="8"/>
        <v>124.8</v>
      </c>
      <c r="H41" s="10">
        <f t="shared" si="9"/>
        <v>1.248</v>
      </c>
      <c r="J41" s="21"/>
      <c r="K41" s="21"/>
      <c r="L41" s="21"/>
      <c r="M41" s="21"/>
      <c r="N41" s="21"/>
      <c r="O41" s="21"/>
      <c r="P41" s="23"/>
      <c r="Q41" s="23"/>
    </row>
    <row r="42" spans="1:17" x14ac:dyDescent="0.2">
      <c r="A42" s="72" t="s">
        <v>21</v>
      </c>
      <c r="B42" s="76">
        <v>50</v>
      </c>
      <c r="C42" s="76">
        <v>200</v>
      </c>
      <c r="D42" s="76">
        <f>B42*C42</f>
        <v>10000</v>
      </c>
      <c r="E42" s="4">
        <v>3770</v>
      </c>
      <c r="F42" s="4">
        <f>2*7</f>
        <v>14</v>
      </c>
      <c r="G42" s="9">
        <f t="shared" si="8"/>
        <v>52.78</v>
      </c>
      <c r="H42" s="91"/>
      <c r="J42" s="29"/>
      <c r="K42" s="29"/>
      <c r="L42" s="29"/>
      <c r="M42" s="29"/>
      <c r="N42" s="21"/>
      <c r="O42" s="21"/>
      <c r="P42" s="23"/>
      <c r="Q42" s="30"/>
    </row>
    <row r="43" spans="1:17" x14ac:dyDescent="0.2">
      <c r="A43" s="72"/>
      <c r="B43" s="76"/>
      <c r="C43" s="76"/>
      <c r="D43" s="76"/>
      <c r="E43" s="4">
        <v>3940</v>
      </c>
      <c r="F43" s="4">
        <v>2</v>
      </c>
      <c r="G43" s="9">
        <f>F43*E43/1000</f>
        <v>7.88</v>
      </c>
      <c r="H43" s="91"/>
      <c r="J43" s="29"/>
      <c r="K43" s="29"/>
      <c r="L43" s="29"/>
      <c r="M43" s="29"/>
      <c r="N43" s="21"/>
      <c r="O43" s="21"/>
      <c r="P43" s="23"/>
      <c r="Q43" s="30"/>
    </row>
    <row r="44" spans="1:17" x14ac:dyDescent="0.2">
      <c r="A44" s="72"/>
      <c r="B44" s="76"/>
      <c r="C44" s="76"/>
      <c r="D44" s="76"/>
      <c r="E44" s="4">
        <v>5020</v>
      </c>
      <c r="F44" s="4">
        <v>2</v>
      </c>
      <c r="G44" s="9">
        <f>F44*E44/1000</f>
        <v>10.039999999999999</v>
      </c>
      <c r="H44" s="91"/>
      <c r="J44" s="29"/>
      <c r="K44" s="29"/>
      <c r="L44" s="29"/>
      <c r="M44" s="29"/>
      <c r="N44" s="21"/>
      <c r="O44" s="21"/>
      <c r="P44" s="23"/>
      <c r="Q44" s="30"/>
    </row>
    <row r="45" spans="1:17" x14ac:dyDescent="0.2">
      <c r="A45" s="72"/>
      <c r="B45" s="76" t="s">
        <v>17</v>
      </c>
      <c r="C45" s="76"/>
      <c r="D45" s="76"/>
      <c r="E45" s="76"/>
      <c r="F45" s="76"/>
      <c r="G45" s="8">
        <f>SUM(G42:G44)</f>
        <v>70.7</v>
      </c>
      <c r="H45" s="10">
        <f>G45*D42/1000000</f>
        <v>0.70699999999999996</v>
      </c>
      <c r="J45" s="29"/>
      <c r="K45" s="29"/>
      <c r="L45" s="29"/>
      <c r="M45" s="29"/>
      <c r="N45" s="29"/>
      <c r="O45" s="29"/>
      <c r="P45" s="23"/>
      <c r="Q45" s="23"/>
    </row>
    <row r="46" spans="1:17" x14ac:dyDescent="0.2">
      <c r="A46" s="6" t="s">
        <v>2</v>
      </c>
      <c r="B46" s="4">
        <v>50</v>
      </c>
      <c r="C46" s="4">
        <v>200</v>
      </c>
      <c r="D46" s="4">
        <f>B46*C46</f>
        <v>10000</v>
      </c>
      <c r="E46" s="4">
        <v>27300</v>
      </c>
      <c r="F46" s="4">
        <f>2*2*7</f>
        <v>28</v>
      </c>
      <c r="G46" s="8">
        <f t="shared" ref="G46:G48" si="10">F46*E46/1000</f>
        <v>764.4</v>
      </c>
      <c r="H46" s="10">
        <f>G46*D46/1000000</f>
        <v>7.6440000000000001</v>
      </c>
      <c r="J46" s="21"/>
      <c r="K46" s="21"/>
      <c r="L46" s="21"/>
      <c r="M46" s="21"/>
      <c r="N46" s="21"/>
      <c r="O46" s="21"/>
      <c r="P46" s="23"/>
      <c r="Q46" s="23"/>
    </row>
    <row r="47" spans="1:17" x14ac:dyDescent="0.2">
      <c r="A47" s="12" t="s">
        <v>51</v>
      </c>
      <c r="B47" s="11">
        <v>20</v>
      </c>
      <c r="C47" s="11">
        <v>150</v>
      </c>
      <c r="D47" s="11">
        <f t="shared" ref="D47:D48" si="11">B47*C47</f>
        <v>3000</v>
      </c>
      <c r="E47" s="11">
        <f>E46*2</f>
        <v>54600</v>
      </c>
      <c r="F47" s="11">
        <f>2*2</f>
        <v>4</v>
      </c>
      <c r="G47" s="8">
        <f t="shared" si="10"/>
        <v>218.4</v>
      </c>
      <c r="H47" s="13">
        <f>G47*D47/1000000</f>
        <v>0.6552</v>
      </c>
      <c r="J47" s="21"/>
      <c r="K47" s="21"/>
      <c r="L47" s="21"/>
      <c r="M47" s="21"/>
      <c r="N47" s="21"/>
      <c r="O47" s="21"/>
      <c r="P47" s="23"/>
      <c r="Q47" s="23"/>
    </row>
    <row r="48" spans="1:17" x14ac:dyDescent="0.2">
      <c r="A48" s="12" t="s">
        <v>52</v>
      </c>
      <c r="B48" s="11">
        <v>10</v>
      </c>
      <c r="C48" s="11">
        <f>250*4</f>
        <v>1000</v>
      </c>
      <c r="D48" s="11">
        <f t="shared" si="11"/>
        <v>10000</v>
      </c>
      <c r="E48" s="11">
        <f>E47</f>
        <v>54600</v>
      </c>
      <c r="F48" s="11">
        <v>2</v>
      </c>
      <c r="G48" s="8">
        <f t="shared" si="10"/>
        <v>109.2</v>
      </c>
      <c r="H48" s="13">
        <f>G48*D48/1000000</f>
        <v>1.0920000000000001</v>
      </c>
      <c r="J48" s="21"/>
      <c r="K48" s="21"/>
      <c r="L48" s="21"/>
      <c r="M48" s="21"/>
      <c r="N48" s="21"/>
      <c r="O48" s="21"/>
      <c r="P48" s="23"/>
      <c r="Q48" s="23"/>
    </row>
    <row r="49" spans="1:17" x14ac:dyDescent="0.2">
      <c r="A49" s="72" t="s">
        <v>17</v>
      </c>
      <c r="B49" s="72"/>
      <c r="C49" s="72"/>
      <c r="D49" s="72"/>
      <c r="E49" s="72"/>
      <c r="F49" s="72"/>
      <c r="G49" s="72"/>
      <c r="H49" s="8">
        <f>SUM(H32:H48)</f>
        <v>33.522600000000004</v>
      </c>
      <c r="I49" s="43">
        <f>H49*$D$2</f>
        <v>5204383.6500000004</v>
      </c>
      <c r="J49" s="29"/>
      <c r="K49" s="29"/>
      <c r="L49" s="29"/>
      <c r="M49" s="29"/>
      <c r="N49" s="29"/>
      <c r="O49" s="29"/>
      <c r="P49" s="29"/>
      <c r="Q49" s="23"/>
    </row>
    <row r="50" spans="1:17" x14ac:dyDescent="0.2">
      <c r="J50" s="20"/>
      <c r="K50" s="20"/>
      <c r="L50" s="20"/>
      <c r="M50" s="20"/>
      <c r="N50" s="20"/>
      <c r="O50" s="20"/>
      <c r="P50" s="20"/>
      <c r="Q50" s="20"/>
    </row>
    <row r="51" spans="1:17" x14ac:dyDescent="0.2">
      <c r="J51" s="20"/>
      <c r="K51" s="20"/>
      <c r="L51" s="20"/>
      <c r="M51" s="20"/>
      <c r="N51" s="20"/>
      <c r="O51" s="20"/>
      <c r="P51" s="20"/>
      <c r="Q51" s="20"/>
    </row>
    <row r="52" spans="1:17" x14ac:dyDescent="0.2">
      <c r="A52" s="85" t="s">
        <v>24</v>
      </c>
      <c r="B52" s="85"/>
      <c r="C52" s="85"/>
      <c r="D52" s="85"/>
      <c r="E52" s="85"/>
      <c r="F52" s="85"/>
      <c r="G52" s="85"/>
      <c r="H52" s="85"/>
      <c r="J52" s="31"/>
      <c r="K52" s="31"/>
      <c r="L52" s="31"/>
      <c r="M52" s="31"/>
      <c r="N52" s="31"/>
      <c r="O52" s="31"/>
      <c r="P52" s="31"/>
      <c r="Q52" s="31"/>
    </row>
    <row r="53" spans="1:17" x14ac:dyDescent="0.2">
      <c r="A53" s="72"/>
      <c r="B53" s="72" t="s">
        <v>6</v>
      </c>
      <c r="C53" s="72"/>
      <c r="D53" s="72"/>
      <c r="E53" s="72" t="s">
        <v>11</v>
      </c>
      <c r="F53" s="72"/>
      <c r="G53" s="72"/>
      <c r="H53" s="72"/>
      <c r="J53" s="32"/>
      <c r="K53" s="32"/>
      <c r="L53" s="32"/>
      <c r="M53" s="32"/>
      <c r="N53" s="32"/>
      <c r="O53" s="32"/>
      <c r="P53" s="32"/>
      <c r="Q53" s="32"/>
    </row>
    <row r="54" spans="1:17" x14ac:dyDescent="0.2">
      <c r="A54" s="72"/>
      <c r="B54" s="6" t="s">
        <v>3</v>
      </c>
      <c r="C54" s="6" t="s">
        <v>4</v>
      </c>
      <c r="D54" s="6" t="s">
        <v>5</v>
      </c>
      <c r="E54" s="6" t="s">
        <v>12</v>
      </c>
      <c r="F54" s="6" t="s">
        <v>13</v>
      </c>
      <c r="G54" s="6" t="s">
        <v>16</v>
      </c>
      <c r="H54" s="6" t="s">
        <v>18</v>
      </c>
      <c r="J54" s="32"/>
      <c r="K54" s="24"/>
      <c r="L54" s="24"/>
      <c r="M54" s="24"/>
      <c r="N54" s="24"/>
      <c r="O54" s="24"/>
      <c r="P54" s="24"/>
      <c r="Q54" s="24"/>
    </row>
    <row r="55" spans="1:17" ht="18" x14ac:dyDescent="0.2">
      <c r="A55" s="72"/>
      <c r="B55" s="6" t="s">
        <v>9</v>
      </c>
      <c r="C55" s="6" t="s">
        <v>9</v>
      </c>
      <c r="D55" s="6" t="s">
        <v>10</v>
      </c>
      <c r="E55" s="6" t="s">
        <v>9</v>
      </c>
      <c r="F55" s="6" t="s">
        <v>14</v>
      </c>
      <c r="G55" s="6" t="s">
        <v>8</v>
      </c>
      <c r="H55" s="6" t="s">
        <v>19</v>
      </c>
      <c r="J55" s="32"/>
      <c r="K55" s="24"/>
      <c r="L55" s="24"/>
      <c r="M55" s="24"/>
      <c r="N55" s="24"/>
      <c r="O55" s="24"/>
      <c r="P55" s="24"/>
      <c r="Q55" s="24"/>
    </row>
    <row r="56" spans="1:17" x14ac:dyDescent="0.2">
      <c r="A56" s="72" t="s">
        <v>15</v>
      </c>
      <c r="B56" s="76">
        <v>100</v>
      </c>
      <c r="C56" s="76">
        <v>200</v>
      </c>
      <c r="D56" s="76">
        <f>B56*C56</f>
        <v>20000</v>
      </c>
      <c r="E56" s="5">
        <v>3275</v>
      </c>
      <c r="F56" s="4">
        <f>2*2*4*1</f>
        <v>16</v>
      </c>
      <c r="G56" s="10">
        <f>F56*E56/1000</f>
        <v>52.4</v>
      </c>
      <c r="H56" s="92"/>
      <c r="J56" s="32"/>
      <c r="K56" s="32"/>
      <c r="L56" s="32"/>
      <c r="M56" s="32"/>
      <c r="N56" s="26"/>
      <c r="O56" s="24"/>
      <c r="P56" s="27"/>
      <c r="Q56" s="32"/>
    </row>
    <row r="57" spans="1:17" x14ac:dyDescent="0.2">
      <c r="A57" s="72"/>
      <c r="B57" s="76"/>
      <c r="C57" s="76"/>
      <c r="D57" s="76"/>
      <c r="E57" s="5">
        <v>2350</v>
      </c>
      <c r="F57" s="4">
        <f>2*2*4*1</f>
        <v>16</v>
      </c>
      <c r="G57" s="10">
        <f t="shared" ref="G57:G60" si="12">F57*E57/1000</f>
        <v>37.6</v>
      </c>
      <c r="H57" s="93"/>
      <c r="J57" s="32"/>
      <c r="K57" s="32"/>
      <c r="L57" s="32"/>
      <c r="M57" s="32"/>
      <c r="N57" s="26"/>
      <c r="O57" s="24"/>
      <c r="P57" s="27"/>
      <c r="Q57" s="32"/>
    </row>
    <row r="58" spans="1:17" x14ac:dyDescent="0.2">
      <c r="A58" s="72"/>
      <c r="B58" s="76"/>
      <c r="C58" s="76"/>
      <c r="D58" s="76"/>
      <c r="E58" s="5">
        <v>8100</v>
      </c>
      <c r="F58" s="4">
        <f>2*2*4*1</f>
        <v>16</v>
      </c>
      <c r="G58" s="10">
        <f t="shared" si="12"/>
        <v>129.6</v>
      </c>
      <c r="H58" s="93"/>
      <c r="J58" s="32"/>
      <c r="K58" s="32"/>
      <c r="L58" s="32"/>
      <c r="M58" s="32"/>
      <c r="N58" s="26"/>
      <c r="O58" s="24"/>
      <c r="P58" s="27"/>
      <c r="Q58" s="32"/>
    </row>
    <row r="59" spans="1:17" x14ac:dyDescent="0.2">
      <c r="A59" s="72"/>
      <c r="B59" s="76"/>
      <c r="C59" s="76"/>
      <c r="D59" s="76"/>
      <c r="E59" s="5">
        <v>7450</v>
      </c>
      <c r="F59" s="4">
        <f>2*2*4*1</f>
        <v>16</v>
      </c>
      <c r="G59" s="10">
        <f t="shared" si="12"/>
        <v>119.2</v>
      </c>
      <c r="H59" s="93"/>
      <c r="J59" s="32"/>
      <c r="K59" s="32"/>
      <c r="L59" s="32"/>
      <c r="M59" s="32"/>
      <c r="N59" s="26"/>
      <c r="O59" s="24"/>
      <c r="P59" s="27"/>
      <c r="Q59" s="32"/>
    </row>
    <row r="60" spans="1:17" x14ac:dyDescent="0.2">
      <c r="A60" s="72"/>
      <c r="B60" s="76"/>
      <c r="C60" s="76"/>
      <c r="D60" s="76"/>
      <c r="E60" s="5">
        <v>9450</v>
      </c>
      <c r="F60" s="4">
        <f>2*4*1</f>
        <v>8</v>
      </c>
      <c r="G60" s="10">
        <f t="shared" si="12"/>
        <v>75.599999999999994</v>
      </c>
      <c r="H60" s="94"/>
      <c r="J60" s="32"/>
      <c r="K60" s="32"/>
      <c r="L60" s="32"/>
      <c r="M60" s="32"/>
      <c r="N60" s="26"/>
      <c r="O60" s="24"/>
      <c r="P60" s="27"/>
      <c r="Q60" s="32"/>
    </row>
    <row r="61" spans="1:17" x14ac:dyDescent="0.2">
      <c r="A61" s="72"/>
      <c r="B61" s="76" t="s">
        <v>17</v>
      </c>
      <c r="C61" s="76"/>
      <c r="D61" s="76"/>
      <c r="E61" s="76"/>
      <c r="F61" s="76"/>
      <c r="G61" s="8">
        <f>SUM(G56:G60)</f>
        <v>414.4</v>
      </c>
      <c r="H61" s="10">
        <f>G61*D56/1000000</f>
        <v>8.2880000000000003</v>
      </c>
      <c r="J61" s="32"/>
      <c r="K61" s="32"/>
      <c r="L61" s="32"/>
      <c r="M61" s="32"/>
      <c r="N61" s="32"/>
      <c r="O61" s="32"/>
      <c r="P61" s="27"/>
      <c r="Q61" s="27"/>
    </row>
    <row r="62" spans="1:17" x14ac:dyDescent="0.2">
      <c r="A62" s="6" t="s">
        <v>0</v>
      </c>
      <c r="B62" s="4">
        <v>50</v>
      </c>
      <c r="C62" s="4">
        <v>200</v>
      </c>
      <c r="D62" s="4">
        <f t="shared" ref="D62" si="13">B62*C62</f>
        <v>10000</v>
      </c>
      <c r="E62" s="4">
        <v>1550</v>
      </c>
      <c r="F62" s="4">
        <f>2*2*(2*20+1)</f>
        <v>164</v>
      </c>
      <c r="G62" s="8">
        <f t="shared" ref="G62:G67" si="14">F62*E62/1000</f>
        <v>254.2</v>
      </c>
      <c r="H62" s="10">
        <f>G62*D62/1000000</f>
        <v>2.5419999999999998</v>
      </c>
      <c r="J62" s="24"/>
      <c r="K62" s="24"/>
      <c r="L62" s="24"/>
      <c r="M62" s="24"/>
      <c r="N62" s="24"/>
      <c r="O62" s="24"/>
      <c r="P62" s="27"/>
      <c r="Q62" s="27"/>
    </row>
    <row r="63" spans="1:17" x14ac:dyDescent="0.2">
      <c r="A63" s="72" t="s">
        <v>1</v>
      </c>
      <c r="B63" s="4">
        <v>80</v>
      </c>
      <c r="C63" s="4">
        <v>200</v>
      </c>
      <c r="D63" s="4">
        <f>B63*C63</f>
        <v>16000</v>
      </c>
      <c r="E63" s="4">
        <v>2400</v>
      </c>
      <c r="F63" s="4">
        <f>2*2*(2*15+1)</f>
        <v>124</v>
      </c>
      <c r="G63" s="8">
        <f t="shared" si="14"/>
        <v>297.60000000000002</v>
      </c>
      <c r="H63" s="10">
        <f t="shared" ref="H63:H66" si="15">G63*D63/1000000</f>
        <v>4.7615999999999996</v>
      </c>
      <c r="J63" s="32"/>
      <c r="K63" s="24"/>
      <c r="L63" s="24"/>
      <c r="M63" s="24"/>
      <c r="N63" s="24"/>
      <c r="O63" s="24"/>
      <c r="P63" s="27"/>
      <c r="Q63" s="27"/>
    </row>
    <row r="64" spans="1:17" x14ac:dyDescent="0.2">
      <c r="A64" s="72"/>
      <c r="B64" s="4">
        <v>40</v>
      </c>
      <c r="C64" s="4">
        <v>200</v>
      </c>
      <c r="D64" s="4">
        <f>B64*C64</f>
        <v>8000</v>
      </c>
      <c r="E64" s="4">
        <v>2400</v>
      </c>
      <c r="F64" s="4">
        <f>2*(2*15+1)</f>
        <v>62</v>
      </c>
      <c r="G64" s="8">
        <f t="shared" si="14"/>
        <v>148.80000000000001</v>
      </c>
      <c r="H64" s="10">
        <f t="shared" si="15"/>
        <v>1.1903999999999999</v>
      </c>
      <c r="J64" s="32"/>
      <c r="K64" s="24"/>
      <c r="L64" s="24"/>
      <c r="M64" s="24"/>
      <c r="N64" s="24"/>
      <c r="O64" s="24"/>
      <c r="P64" s="27"/>
      <c r="Q64" s="27"/>
    </row>
    <row r="65" spans="1:17" x14ac:dyDescent="0.2">
      <c r="A65" s="6" t="s">
        <v>20</v>
      </c>
      <c r="B65" s="4">
        <v>100</v>
      </c>
      <c r="C65" s="4">
        <v>200</v>
      </c>
      <c r="D65" s="4">
        <f>B65*C65</f>
        <v>20000</v>
      </c>
      <c r="E65" s="4">
        <v>4640</v>
      </c>
      <c r="F65" s="4">
        <f>2*23</f>
        <v>46</v>
      </c>
      <c r="G65" s="8">
        <f t="shared" si="14"/>
        <v>213.44</v>
      </c>
      <c r="H65" s="10">
        <f t="shared" si="15"/>
        <v>4.2687999999999997</v>
      </c>
      <c r="J65" s="24"/>
      <c r="K65" s="24"/>
      <c r="L65" s="24"/>
      <c r="M65" s="24"/>
      <c r="N65" s="24"/>
      <c r="O65" s="24"/>
      <c r="P65" s="27"/>
      <c r="Q65" s="27"/>
    </row>
    <row r="66" spans="1:17" x14ac:dyDescent="0.2">
      <c r="A66" s="6" t="s">
        <v>22</v>
      </c>
      <c r="B66" s="4">
        <v>100</v>
      </c>
      <c r="C66" s="4">
        <v>100</v>
      </c>
      <c r="D66" s="4">
        <f>B66*C66</f>
        <v>10000</v>
      </c>
      <c r="E66" s="4">
        <v>1300</v>
      </c>
      <c r="F66" s="4">
        <f>2*2*23</f>
        <v>92</v>
      </c>
      <c r="G66" s="8">
        <f t="shared" si="14"/>
        <v>119.6</v>
      </c>
      <c r="H66" s="10">
        <f t="shared" si="15"/>
        <v>1.196</v>
      </c>
      <c r="J66" s="24"/>
      <c r="K66" s="24"/>
      <c r="L66" s="24"/>
      <c r="M66" s="24"/>
      <c r="N66" s="24"/>
      <c r="O66" s="24"/>
      <c r="P66" s="27"/>
      <c r="Q66" s="27"/>
    </row>
    <row r="67" spans="1:17" x14ac:dyDescent="0.2">
      <c r="A67" s="72" t="s">
        <v>21</v>
      </c>
      <c r="B67" s="76">
        <v>50</v>
      </c>
      <c r="C67" s="76">
        <v>200</v>
      </c>
      <c r="D67" s="76">
        <f>B67*C67</f>
        <v>10000</v>
      </c>
      <c r="E67" s="4">
        <v>3770</v>
      </c>
      <c r="F67" s="4">
        <f>2*8</f>
        <v>16</v>
      </c>
      <c r="G67" s="9">
        <f t="shared" si="14"/>
        <v>60.32</v>
      </c>
      <c r="H67" s="91"/>
      <c r="J67" s="32"/>
      <c r="K67" s="32"/>
      <c r="L67" s="32"/>
      <c r="M67" s="32"/>
      <c r="N67" s="24"/>
      <c r="O67" s="24"/>
      <c r="P67" s="27"/>
      <c r="Q67" s="33"/>
    </row>
    <row r="68" spans="1:17" x14ac:dyDescent="0.2">
      <c r="A68" s="72"/>
      <c r="B68" s="76"/>
      <c r="C68" s="76"/>
      <c r="D68" s="76"/>
      <c r="E68" s="4">
        <v>3940</v>
      </c>
      <c r="F68" s="4">
        <v>2</v>
      </c>
      <c r="G68" s="9">
        <f>F68*E68/1000</f>
        <v>7.88</v>
      </c>
      <c r="H68" s="91"/>
      <c r="J68" s="32"/>
      <c r="K68" s="32"/>
      <c r="L68" s="32"/>
      <c r="M68" s="32"/>
      <c r="N68" s="24"/>
      <c r="O68" s="24"/>
      <c r="P68" s="27"/>
      <c r="Q68" s="33"/>
    </row>
    <row r="69" spans="1:17" x14ac:dyDescent="0.2">
      <c r="A69" s="72"/>
      <c r="B69" s="76" t="s">
        <v>17</v>
      </c>
      <c r="C69" s="76"/>
      <c r="D69" s="76"/>
      <c r="E69" s="76"/>
      <c r="F69" s="76"/>
      <c r="G69" s="8">
        <f>SUM(G67:G68)</f>
        <v>68.2</v>
      </c>
      <c r="H69" s="10">
        <f>G69*D67/1000000</f>
        <v>0.68200000000000005</v>
      </c>
      <c r="J69" s="32"/>
      <c r="K69" s="32"/>
      <c r="L69" s="32"/>
      <c r="M69" s="32"/>
      <c r="N69" s="32"/>
      <c r="O69" s="32"/>
      <c r="P69" s="27"/>
      <c r="Q69" s="27"/>
    </row>
    <row r="70" spans="1:17" x14ac:dyDescent="0.2">
      <c r="A70" s="6" t="s">
        <v>2</v>
      </c>
      <c r="B70" s="4">
        <v>50</v>
      </c>
      <c r="C70" s="4">
        <v>200</v>
      </c>
      <c r="D70" s="4">
        <f>B70*C70</f>
        <v>10000</v>
      </c>
      <c r="E70" s="4">
        <v>25950</v>
      </c>
      <c r="F70" s="4">
        <f>2*2*7</f>
        <v>28</v>
      </c>
      <c r="G70" s="8">
        <f t="shared" ref="G70:G72" si="16">F70*E70/1000</f>
        <v>726.6</v>
      </c>
      <c r="H70" s="10">
        <f>G70*D70/1000000</f>
        <v>7.266</v>
      </c>
      <c r="J70" s="24"/>
      <c r="K70" s="24"/>
      <c r="L70" s="24"/>
      <c r="M70" s="24"/>
      <c r="N70" s="24"/>
      <c r="O70" s="24"/>
      <c r="P70" s="27"/>
      <c r="Q70" s="27"/>
    </row>
    <row r="71" spans="1:17" x14ac:dyDescent="0.2">
      <c r="A71" s="12" t="s">
        <v>51</v>
      </c>
      <c r="B71" s="11">
        <v>20</v>
      </c>
      <c r="C71" s="11">
        <v>150</v>
      </c>
      <c r="D71" s="11">
        <f t="shared" ref="D71:D72" si="17">B71*C71</f>
        <v>3000</v>
      </c>
      <c r="E71" s="11">
        <f>E70*2</f>
        <v>51900</v>
      </c>
      <c r="F71" s="11">
        <f>2*2</f>
        <v>4</v>
      </c>
      <c r="G71" s="8">
        <f t="shared" si="16"/>
        <v>207.6</v>
      </c>
      <c r="H71" s="13">
        <f>G71*D71/1000000</f>
        <v>0.62280000000000002</v>
      </c>
      <c r="J71" s="25"/>
      <c r="K71" s="25"/>
      <c r="L71" s="25"/>
      <c r="M71" s="25"/>
      <c r="N71" s="25"/>
      <c r="O71" s="25"/>
      <c r="P71" s="27"/>
      <c r="Q71" s="27"/>
    </row>
    <row r="72" spans="1:17" x14ac:dyDescent="0.2">
      <c r="A72" s="12" t="s">
        <v>52</v>
      </c>
      <c r="B72" s="11">
        <v>10</v>
      </c>
      <c r="C72" s="11">
        <f>250*4</f>
        <v>1000</v>
      </c>
      <c r="D72" s="11">
        <f t="shared" si="17"/>
        <v>10000</v>
      </c>
      <c r="E72" s="11">
        <f>E71</f>
        <v>51900</v>
      </c>
      <c r="F72" s="11">
        <v>2</v>
      </c>
      <c r="G72" s="8">
        <f t="shared" si="16"/>
        <v>103.8</v>
      </c>
      <c r="H72" s="13">
        <f>G72*D72/1000000</f>
        <v>1.038</v>
      </c>
      <c r="J72" s="25"/>
      <c r="K72" s="25"/>
      <c r="L72" s="25"/>
      <c r="M72" s="25"/>
      <c r="N72" s="25"/>
      <c r="O72" s="25"/>
      <c r="P72" s="27"/>
      <c r="Q72" s="27"/>
    </row>
    <row r="73" spans="1:17" x14ac:dyDescent="0.2">
      <c r="A73" s="72" t="s">
        <v>17</v>
      </c>
      <c r="B73" s="72"/>
      <c r="C73" s="72"/>
      <c r="D73" s="72"/>
      <c r="E73" s="72"/>
      <c r="F73" s="72"/>
      <c r="G73" s="72"/>
      <c r="H73" s="8">
        <f>SUM(H56:H72)</f>
        <v>31.855600000000003</v>
      </c>
      <c r="I73" s="43">
        <f>H73*$D$2</f>
        <v>4945581.9000000004</v>
      </c>
      <c r="J73" s="95"/>
      <c r="K73" s="95"/>
      <c r="L73" s="95"/>
      <c r="M73" s="95"/>
      <c r="N73" s="95"/>
      <c r="O73" s="95"/>
      <c r="P73" s="95"/>
      <c r="Q73" s="27"/>
    </row>
    <row r="74" spans="1:17" x14ac:dyDescent="0.2">
      <c r="J74" s="20"/>
      <c r="K74" s="20"/>
      <c r="L74" s="20"/>
      <c r="M74" s="20"/>
      <c r="N74" s="20"/>
      <c r="O74" s="20"/>
      <c r="P74" s="20"/>
      <c r="Q74" s="20"/>
    </row>
    <row r="76" spans="1:17" x14ac:dyDescent="0.2">
      <c r="A76" s="85" t="s">
        <v>37</v>
      </c>
      <c r="B76" s="85"/>
      <c r="C76" s="85"/>
      <c r="D76" s="85"/>
      <c r="E76" s="85"/>
      <c r="F76" s="85"/>
      <c r="G76" s="85"/>
      <c r="H76" s="85"/>
    </row>
    <row r="77" spans="1:17" x14ac:dyDescent="0.2">
      <c r="A77" s="72"/>
      <c r="B77" s="72" t="s">
        <v>6</v>
      </c>
      <c r="C77" s="72"/>
      <c r="D77" s="72"/>
      <c r="E77" s="72" t="s">
        <v>11</v>
      </c>
      <c r="F77" s="72"/>
      <c r="G77" s="72"/>
      <c r="H77" s="72"/>
    </row>
    <row r="78" spans="1:17" x14ac:dyDescent="0.2">
      <c r="A78" s="72"/>
      <c r="B78" s="6" t="s">
        <v>3</v>
      </c>
      <c r="C78" s="6" t="s">
        <v>4</v>
      </c>
      <c r="D78" s="6" t="s">
        <v>5</v>
      </c>
      <c r="E78" s="6" t="s">
        <v>12</v>
      </c>
      <c r="F78" s="6" t="s">
        <v>13</v>
      </c>
      <c r="G78" s="6" t="s">
        <v>16</v>
      </c>
      <c r="H78" s="6" t="s">
        <v>18</v>
      </c>
    </row>
    <row r="79" spans="1:17" ht="18" x14ac:dyDescent="0.2">
      <c r="A79" s="72"/>
      <c r="B79" s="6" t="s">
        <v>9</v>
      </c>
      <c r="C79" s="6" t="s">
        <v>9</v>
      </c>
      <c r="D79" s="6" t="s">
        <v>10</v>
      </c>
      <c r="E79" s="6" t="s">
        <v>9</v>
      </c>
      <c r="F79" s="6" t="s">
        <v>14</v>
      </c>
      <c r="G79" s="6" t="s">
        <v>8</v>
      </c>
      <c r="H79" s="6" t="s">
        <v>19</v>
      </c>
    </row>
    <row r="80" spans="1:17" x14ac:dyDescent="0.2">
      <c r="A80" s="6" t="s">
        <v>38</v>
      </c>
      <c r="B80" s="4">
        <v>200</v>
      </c>
      <c r="C80" s="4">
        <v>200</v>
      </c>
      <c r="D80" s="4">
        <f t="shared" ref="D80" si="18">B80*C80</f>
        <v>40000</v>
      </c>
      <c r="E80" s="4">
        <v>3700</v>
      </c>
      <c r="F80" s="4">
        <f t="shared" ref="F80:F87" si="19">J80*K80</f>
        <v>6</v>
      </c>
      <c r="G80" s="8">
        <f t="shared" ref="G80:G91" si="20">F80*E80/1000</f>
        <v>22.2</v>
      </c>
      <c r="H80" s="10">
        <f>G80*D80/1000000</f>
        <v>0.88800000000000001</v>
      </c>
      <c r="J80" s="1">
        <v>1</v>
      </c>
      <c r="K80" s="1">
        <f>SUM($M$7:$M$9)</f>
        <v>6</v>
      </c>
    </row>
    <row r="81" spans="1:11" x14ac:dyDescent="0.2">
      <c r="A81" s="6" t="s">
        <v>40</v>
      </c>
      <c r="B81" s="4">
        <v>200</v>
      </c>
      <c r="C81" s="4">
        <v>200</v>
      </c>
      <c r="D81" s="4">
        <f>B81*C81</f>
        <v>40000</v>
      </c>
      <c r="E81" s="4">
        <v>4100</v>
      </c>
      <c r="F81" s="4">
        <f t="shared" si="19"/>
        <v>12</v>
      </c>
      <c r="G81" s="8">
        <f t="shared" si="20"/>
        <v>49.2</v>
      </c>
      <c r="H81" s="10">
        <f t="shared" ref="H81:H91" si="21">G81*D81/1000000</f>
        <v>1.968</v>
      </c>
      <c r="J81" s="1">
        <v>2</v>
      </c>
      <c r="K81" s="1">
        <f>SUM($P$7:$P$9)</f>
        <v>6</v>
      </c>
    </row>
    <row r="82" spans="1:11" x14ac:dyDescent="0.2">
      <c r="A82" s="6" t="s">
        <v>39</v>
      </c>
      <c r="B82" s="4">
        <v>200</v>
      </c>
      <c r="C82" s="4">
        <v>200</v>
      </c>
      <c r="D82" s="4">
        <f>B82*C82</f>
        <v>40000</v>
      </c>
      <c r="E82" s="4">
        <v>1400</v>
      </c>
      <c r="F82" s="4">
        <f t="shared" si="19"/>
        <v>24</v>
      </c>
      <c r="G82" s="8">
        <f t="shared" si="20"/>
        <v>33.6</v>
      </c>
      <c r="H82" s="10">
        <f t="shared" si="21"/>
        <v>1.3440000000000001</v>
      </c>
      <c r="J82" s="1">
        <v>4</v>
      </c>
      <c r="K82" s="1">
        <f>SUM($P$7:$P$9)</f>
        <v>6</v>
      </c>
    </row>
    <row r="83" spans="1:11" x14ac:dyDescent="0.2">
      <c r="A83" s="6" t="s">
        <v>41</v>
      </c>
      <c r="B83" s="4">
        <v>200</v>
      </c>
      <c r="C83" s="4">
        <v>200</v>
      </c>
      <c r="D83" s="4">
        <f t="shared" ref="D83:D91" si="22">B83*C83</f>
        <v>40000</v>
      </c>
      <c r="E83" s="4">
        <v>1800</v>
      </c>
      <c r="F83" s="4">
        <f t="shared" si="19"/>
        <v>42</v>
      </c>
      <c r="G83" s="8">
        <f t="shared" si="20"/>
        <v>75.599999999999994</v>
      </c>
      <c r="H83" s="10">
        <f t="shared" si="21"/>
        <v>3.024</v>
      </c>
      <c r="J83" s="1">
        <v>6</v>
      </c>
      <c r="K83" s="1">
        <f>SUM($S$7:$S$9)</f>
        <v>7</v>
      </c>
    </row>
    <row r="84" spans="1:11" x14ac:dyDescent="0.2">
      <c r="A84" s="6" t="s">
        <v>42</v>
      </c>
      <c r="B84" s="4">
        <v>200</v>
      </c>
      <c r="C84" s="4">
        <v>200</v>
      </c>
      <c r="D84" s="4">
        <f t="shared" si="22"/>
        <v>40000</v>
      </c>
      <c r="E84" s="4">
        <v>3900</v>
      </c>
      <c r="F84" s="4">
        <f t="shared" si="19"/>
        <v>14</v>
      </c>
      <c r="G84" s="8">
        <f t="shared" si="20"/>
        <v>54.6</v>
      </c>
      <c r="H84" s="10">
        <f t="shared" si="21"/>
        <v>2.1840000000000002</v>
      </c>
      <c r="J84" s="1">
        <v>2</v>
      </c>
      <c r="K84" s="1">
        <f>SUM($S$7:$S$9)</f>
        <v>7</v>
      </c>
    </row>
    <row r="85" spans="1:11" x14ac:dyDescent="0.2">
      <c r="A85" s="6" t="s">
        <v>43</v>
      </c>
      <c r="B85" s="4">
        <v>200</v>
      </c>
      <c r="C85" s="4">
        <v>200</v>
      </c>
      <c r="D85" s="4">
        <f t="shared" si="22"/>
        <v>40000</v>
      </c>
      <c r="E85" s="4">
        <v>1460</v>
      </c>
      <c r="F85" s="4">
        <f t="shared" si="19"/>
        <v>56</v>
      </c>
      <c r="G85" s="8">
        <f t="shared" si="20"/>
        <v>81.760000000000005</v>
      </c>
      <c r="H85" s="10">
        <f t="shared" si="21"/>
        <v>3.2704</v>
      </c>
      <c r="J85" s="1">
        <v>8</v>
      </c>
      <c r="K85" s="1">
        <f>SUM($S$7:$S$9)</f>
        <v>7</v>
      </c>
    </row>
    <row r="86" spans="1:11" x14ac:dyDescent="0.2">
      <c r="A86" s="73" t="s">
        <v>45</v>
      </c>
      <c r="B86" s="4">
        <v>200</v>
      </c>
      <c r="C86" s="4">
        <v>200</v>
      </c>
      <c r="D86" s="4">
        <f t="shared" si="22"/>
        <v>40000</v>
      </c>
      <c r="E86" s="4">
        <v>1560</v>
      </c>
      <c r="F86" s="4">
        <f t="shared" si="19"/>
        <v>28</v>
      </c>
      <c r="G86" s="9">
        <f t="shared" si="20"/>
        <v>43.68</v>
      </c>
      <c r="H86" s="70">
        <f>G88*D86/1000000</f>
        <v>2.6095999999999999</v>
      </c>
      <c r="J86" s="1">
        <v>4</v>
      </c>
      <c r="K86" s="1">
        <f>SUM($S$7:$S$9)</f>
        <v>7</v>
      </c>
    </row>
    <row r="87" spans="1:11" x14ac:dyDescent="0.2">
      <c r="A87" s="74"/>
      <c r="B87" s="4">
        <v>200</v>
      </c>
      <c r="C87" s="4">
        <v>200</v>
      </c>
      <c r="D87" s="4">
        <f t="shared" si="22"/>
        <v>40000</v>
      </c>
      <c r="E87" s="4">
        <v>1540</v>
      </c>
      <c r="F87" s="4">
        <f t="shared" si="19"/>
        <v>14</v>
      </c>
      <c r="G87" s="9">
        <f t="shared" si="20"/>
        <v>21.56</v>
      </c>
      <c r="H87" s="77"/>
      <c r="J87" s="1">
        <v>2</v>
      </c>
      <c r="K87" s="1">
        <f>SUM($S$7:$S$9)</f>
        <v>7</v>
      </c>
    </row>
    <row r="88" spans="1:11" x14ac:dyDescent="0.2">
      <c r="A88" s="75"/>
      <c r="B88" s="76" t="s">
        <v>17</v>
      </c>
      <c r="C88" s="76"/>
      <c r="D88" s="76"/>
      <c r="E88" s="76"/>
      <c r="F88" s="76"/>
      <c r="G88" s="8">
        <f>SUM(G86:G87)</f>
        <v>65.239999999999995</v>
      </c>
      <c r="H88" s="71"/>
    </row>
    <row r="89" spans="1:11" x14ac:dyDescent="0.2">
      <c r="A89" s="6" t="s">
        <v>44</v>
      </c>
      <c r="B89" s="4">
        <v>200</v>
      </c>
      <c r="C89" s="4">
        <v>200</v>
      </c>
      <c r="D89" s="4">
        <f t="shared" si="22"/>
        <v>40000</v>
      </c>
      <c r="E89" s="4">
        <v>3880</v>
      </c>
      <c r="F89" s="4">
        <f>J89*K89</f>
        <v>14</v>
      </c>
      <c r="G89" s="8">
        <f t="shared" si="20"/>
        <v>54.32</v>
      </c>
      <c r="H89" s="10">
        <f>G89*D89/1000000</f>
        <v>2.1728000000000001</v>
      </c>
      <c r="J89" s="1">
        <v>2</v>
      </c>
      <c r="K89" s="1">
        <f>SUM($S$7:$S$9)</f>
        <v>7</v>
      </c>
    </row>
    <row r="90" spans="1:11" x14ac:dyDescent="0.2">
      <c r="A90" s="6" t="s">
        <v>46</v>
      </c>
      <c r="B90" s="4">
        <v>80</v>
      </c>
      <c r="C90" s="4">
        <v>200</v>
      </c>
      <c r="D90" s="4">
        <f t="shared" si="22"/>
        <v>16000</v>
      </c>
      <c r="E90" s="4">
        <v>1100</v>
      </c>
      <c r="F90" s="4">
        <f>J90*K90</f>
        <v>28</v>
      </c>
      <c r="G90" s="8">
        <f t="shared" si="20"/>
        <v>30.8</v>
      </c>
      <c r="H90" s="10">
        <f t="shared" si="21"/>
        <v>0.49280000000000002</v>
      </c>
      <c r="J90" s="1">
        <v>4</v>
      </c>
      <c r="K90" s="1">
        <f>SUM($S$7:$S$9)</f>
        <v>7</v>
      </c>
    </row>
    <row r="91" spans="1:11" x14ac:dyDescent="0.2">
      <c r="A91" s="6" t="s">
        <v>47</v>
      </c>
      <c r="B91" s="4">
        <v>80</v>
      </c>
      <c r="C91" s="4">
        <v>200</v>
      </c>
      <c r="D91" s="4">
        <f t="shared" si="22"/>
        <v>16000</v>
      </c>
      <c r="E91" s="4">
        <v>1120</v>
      </c>
      <c r="F91" s="4">
        <f>J91*K91</f>
        <v>56</v>
      </c>
      <c r="G91" s="8">
        <f t="shared" si="20"/>
        <v>62.72</v>
      </c>
      <c r="H91" s="10">
        <f t="shared" si="21"/>
        <v>1.00352</v>
      </c>
      <c r="J91" s="1">
        <v>8</v>
      </c>
      <c r="K91" s="1">
        <f>SUM($S$7:$S$9)</f>
        <v>7</v>
      </c>
    </row>
    <row r="92" spans="1:11" x14ac:dyDescent="0.2">
      <c r="A92" s="72" t="s">
        <v>17</v>
      </c>
      <c r="B92" s="72"/>
      <c r="C92" s="72"/>
      <c r="D92" s="72"/>
      <c r="E92" s="72"/>
      <c r="F92" s="72"/>
      <c r="G92" s="72"/>
      <c r="H92" s="8">
        <f>SUM(H80:H91)</f>
        <v>18.957120000000003</v>
      </c>
      <c r="I92" s="43"/>
    </row>
  </sheetData>
  <mergeCells count="74">
    <mergeCell ref="A2:C2"/>
    <mergeCell ref="A1:C1"/>
    <mergeCell ref="K5:K6"/>
    <mergeCell ref="L5:N5"/>
    <mergeCell ref="O5:Q5"/>
    <mergeCell ref="R5:T5"/>
    <mergeCell ref="A4:H4"/>
    <mergeCell ref="K4:T4"/>
    <mergeCell ref="A5:A7"/>
    <mergeCell ref="B5:D5"/>
    <mergeCell ref="E5:H5"/>
    <mergeCell ref="H18:H20"/>
    <mergeCell ref="L10:T10"/>
    <mergeCell ref="A8:A12"/>
    <mergeCell ref="B8:B11"/>
    <mergeCell ref="C8:C11"/>
    <mergeCell ref="D8:D11"/>
    <mergeCell ref="H8:H11"/>
    <mergeCell ref="B12:F12"/>
    <mergeCell ref="L7:L9"/>
    <mergeCell ref="O7:O9"/>
    <mergeCell ref="R7:R9"/>
    <mergeCell ref="A14:A15"/>
    <mergeCell ref="A18:A21"/>
    <mergeCell ref="B18:B20"/>
    <mergeCell ref="C18:C20"/>
    <mergeCell ref="D18:D20"/>
    <mergeCell ref="A28:H28"/>
    <mergeCell ref="A29:A31"/>
    <mergeCell ref="B29:D29"/>
    <mergeCell ref="E29:H29"/>
    <mergeCell ref="B21:F21"/>
    <mergeCell ref="A25:G25"/>
    <mergeCell ref="H42:H44"/>
    <mergeCell ref="B36:F36"/>
    <mergeCell ref="A32:A36"/>
    <mergeCell ref="B32:B35"/>
    <mergeCell ref="C32:C35"/>
    <mergeCell ref="D32:D35"/>
    <mergeCell ref="H32:H35"/>
    <mergeCell ref="B45:F45"/>
    <mergeCell ref="A38:A39"/>
    <mergeCell ref="A42:A45"/>
    <mergeCell ref="B42:B44"/>
    <mergeCell ref="C42:C44"/>
    <mergeCell ref="D42:D44"/>
    <mergeCell ref="A49:G49"/>
    <mergeCell ref="A52:H52"/>
    <mergeCell ref="A53:A55"/>
    <mergeCell ref="B53:D53"/>
    <mergeCell ref="E53:H53"/>
    <mergeCell ref="H67:H68"/>
    <mergeCell ref="B61:F61"/>
    <mergeCell ref="A56:A61"/>
    <mergeCell ref="B56:B60"/>
    <mergeCell ref="C56:C60"/>
    <mergeCell ref="D56:D60"/>
    <mergeCell ref="H56:H60"/>
    <mergeCell ref="B69:F69"/>
    <mergeCell ref="A63:A64"/>
    <mergeCell ref="A67:A69"/>
    <mergeCell ref="B67:B68"/>
    <mergeCell ref="C67:C68"/>
    <mergeCell ref="D67:D68"/>
    <mergeCell ref="J73:P73"/>
    <mergeCell ref="A76:H76"/>
    <mergeCell ref="A77:A79"/>
    <mergeCell ref="B77:D77"/>
    <mergeCell ref="E77:H77"/>
    <mergeCell ref="A86:A88"/>
    <mergeCell ref="H86:H88"/>
    <mergeCell ref="B88:F88"/>
    <mergeCell ref="A92:G92"/>
    <mergeCell ref="A73:G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&amp;L&amp;"Times New Roman,Normál"&amp;12Kisvárda, Csónakázó tó
Anyagkimutatás&amp;C&amp;P&amp;R&amp;"Times New Roman,Normál"&amp;12M-A1 melléklet</oddHeader>
  </headerFooter>
  <rowBreaks count="3" manualBreakCount="3">
    <brk id="26" max="38" man="1"/>
    <brk id="50" max="38" man="1"/>
    <brk id="73" max="38" man="1"/>
  </rowBreaks>
  <colBreaks count="2" manualBreakCount="2">
    <brk id="8" min="3" max="86" man="1"/>
    <brk id="28" min="3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R35"/>
  <sheetViews>
    <sheetView view="pageBreakPreview" topLeftCell="A2" zoomScale="110" zoomScaleNormal="100" zoomScaleSheetLayoutView="110" workbookViewId="0">
      <selection activeCell="D21" sqref="D21"/>
    </sheetView>
  </sheetViews>
  <sheetFormatPr baseColWidth="10" defaultColWidth="9.1640625" defaultRowHeight="15" x14ac:dyDescent="0.2"/>
  <cols>
    <col min="1" max="1" width="10.33203125" style="53" customWidth="1"/>
    <col min="2" max="2" width="6.5" style="53" customWidth="1"/>
    <col min="3" max="3" width="34.83203125" style="53" bestFit="1" customWidth="1"/>
    <col min="4" max="7" width="14" style="53" customWidth="1"/>
    <col min="8" max="16384" width="9.1640625" style="53"/>
  </cols>
  <sheetData>
    <row r="2" spans="2:18" ht="16" x14ac:dyDescent="0.2">
      <c r="B2" s="61"/>
      <c r="C2" s="85" t="s">
        <v>53</v>
      </c>
      <c r="D2" s="85"/>
      <c r="E2" s="85"/>
      <c r="F2" s="85"/>
      <c r="G2" s="85"/>
    </row>
    <row r="3" spans="2:18" ht="16" x14ac:dyDescent="0.2">
      <c r="B3" s="61"/>
      <c r="C3" s="61"/>
      <c r="D3" s="61"/>
      <c r="E3" s="61"/>
      <c r="F3" s="61"/>
      <c r="G3" s="61"/>
      <c r="K3" s="53" t="s">
        <v>61</v>
      </c>
      <c r="R3" s="53" t="s">
        <v>71</v>
      </c>
    </row>
    <row r="4" spans="2:18" ht="16" x14ac:dyDescent="0.2">
      <c r="B4" s="61"/>
      <c r="C4" s="85" t="s">
        <v>28</v>
      </c>
      <c r="D4" s="85"/>
      <c r="E4" s="85"/>
      <c r="F4" s="85"/>
      <c r="G4" s="85"/>
      <c r="K4" s="53" t="s">
        <v>65</v>
      </c>
      <c r="R4" s="53" t="s">
        <v>72</v>
      </c>
    </row>
    <row r="5" spans="2:18" ht="16" x14ac:dyDescent="0.2">
      <c r="B5" s="61"/>
      <c r="C5" s="72" t="s">
        <v>54</v>
      </c>
      <c r="D5" s="72"/>
      <c r="E5" s="72"/>
      <c r="F5" s="72"/>
      <c r="G5" s="72"/>
      <c r="K5" s="53" t="s">
        <v>62</v>
      </c>
      <c r="R5" s="53" t="s">
        <v>73</v>
      </c>
    </row>
    <row r="6" spans="2:18" ht="16" x14ac:dyDescent="0.2">
      <c r="B6" s="61"/>
      <c r="C6" s="46"/>
      <c r="D6" s="36" t="s">
        <v>57</v>
      </c>
      <c r="E6" s="36" t="s">
        <v>59</v>
      </c>
      <c r="F6" s="36" t="s">
        <v>58</v>
      </c>
      <c r="G6" s="36" t="s">
        <v>60</v>
      </c>
      <c r="K6" s="53" t="s">
        <v>64</v>
      </c>
      <c r="R6" s="53" t="s">
        <v>74</v>
      </c>
    </row>
    <row r="7" spans="2:18" ht="16" x14ac:dyDescent="0.2">
      <c r="B7" s="61"/>
      <c r="C7" s="101" t="s">
        <v>56</v>
      </c>
      <c r="D7" s="102"/>
      <c r="E7" s="102"/>
      <c r="F7" s="102"/>
      <c r="G7" s="103"/>
      <c r="K7" s="53" t="s">
        <v>63</v>
      </c>
      <c r="R7" s="53" t="s">
        <v>75</v>
      </c>
    </row>
    <row r="8" spans="2:18" ht="18.75" customHeight="1" x14ac:dyDescent="0.2">
      <c r="B8" s="104" t="s">
        <v>56</v>
      </c>
      <c r="C8" s="46" t="s">
        <v>15</v>
      </c>
      <c r="D8" s="62">
        <f>Munka1!H10</f>
        <v>11.423999999999999</v>
      </c>
      <c r="E8" s="36" t="s">
        <v>19</v>
      </c>
      <c r="F8" s="63"/>
      <c r="G8" s="63"/>
      <c r="K8" s="53" t="s">
        <v>79</v>
      </c>
      <c r="R8" s="53" t="s">
        <v>76</v>
      </c>
    </row>
    <row r="9" spans="2:18" ht="18" x14ac:dyDescent="0.2">
      <c r="B9" s="104"/>
      <c r="C9" s="46" t="s">
        <v>0</v>
      </c>
      <c r="D9" s="62">
        <f>Munka1!H11</f>
        <v>3.472</v>
      </c>
      <c r="E9" s="36" t="s">
        <v>19</v>
      </c>
      <c r="F9" s="63"/>
      <c r="G9" s="63"/>
      <c r="K9" s="53" t="s">
        <v>82</v>
      </c>
      <c r="R9" s="53" t="s">
        <v>77</v>
      </c>
    </row>
    <row r="10" spans="2:18" ht="18" x14ac:dyDescent="0.2">
      <c r="B10" s="104"/>
      <c r="C10" s="46" t="s">
        <v>1</v>
      </c>
      <c r="D10" s="62">
        <f>Munka1!H14</f>
        <v>8.4480000000000004</v>
      </c>
      <c r="E10" s="36" t="s">
        <v>19</v>
      </c>
      <c r="F10" s="63"/>
      <c r="G10" s="63"/>
      <c r="K10" s="53" t="s">
        <v>83</v>
      </c>
      <c r="R10" s="53" t="s">
        <v>78</v>
      </c>
    </row>
    <row r="11" spans="2:18" ht="18" x14ac:dyDescent="0.2">
      <c r="B11" s="104"/>
      <c r="C11" s="46" t="s">
        <v>20</v>
      </c>
      <c r="D11" s="62">
        <f>Munka1!H15</f>
        <v>5.7535999999999996</v>
      </c>
      <c r="E11" s="36" t="s">
        <v>19</v>
      </c>
      <c r="F11" s="63"/>
      <c r="G11" s="63"/>
      <c r="K11" s="53" t="s">
        <v>80</v>
      </c>
    </row>
    <row r="12" spans="2:18" ht="18" x14ac:dyDescent="0.2">
      <c r="B12" s="104"/>
      <c r="C12" s="46" t="s">
        <v>22</v>
      </c>
      <c r="D12" s="62">
        <f>Munka1!H16</f>
        <v>1.6120000000000001</v>
      </c>
      <c r="E12" s="36" t="s">
        <v>19</v>
      </c>
      <c r="F12" s="63"/>
      <c r="G12" s="63"/>
      <c r="K12" s="53" t="s">
        <v>81</v>
      </c>
    </row>
    <row r="13" spans="2:18" ht="18" x14ac:dyDescent="0.2">
      <c r="B13" s="104"/>
      <c r="C13" s="46" t="s">
        <v>21</v>
      </c>
      <c r="D13" s="62">
        <f>Munka1!H20</f>
        <v>0.93319999999999992</v>
      </c>
      <c r="E13" s="36" t="s">
        <v>19</v>
      </c>
      <c r="F13" s="63"/>
      <c r="G13" s="63"/>
      <c r="K13" s="53" t="s">
        <v>66</v>
      </c>
    </row>
    <row r="14" spans="2:18" ht="18" x14ac:dyDescent="0.2">
      <c r="B14" s="104"/>
      <c r="C14" s="46" t="s">
        <v>31</v>
      </c>
      <c r="D14" s="62">
        <f>Munka1!M93</f>
        <v>7.7244799999999998</v>
      </c>
      <c r="E14" s="36" t="s">
        <v>19</v>
      </c>
      <c r="F14" s="63"/>
      <c r="G14" s="63"/>
      <c r="K14" s="53" t="s">
        <v>67</v>
      </c>
    </row>
    <row r="15" spans="2:18" ht="18" x14ac:dyDescent="0.2">
      <c r="B15" s="105" t="s">
        <v>86</v>
      </c>
      <c r="C15" s="46" t="s">
        <v>2</v>
      </c>
      <c r="D15" s="62">
        <f>Munka1!H21</f>
        <v>10.01</v>
      </c>
      <c r="E15" s="36" t="s">
        <v>19</v>
      </c>
      <c r="F15" s="63"/>
      <c r="G15" s="63"/>
      <c r="K15" s="46"/>
      <c r="L15" s="55"/>
      <c r="M15" s="36"/>
      <c r="N15" s="56"/>
      <c r="O15" s="54"/>
    </row>
    <row r="16" spans="2:18" ht="18" x14ac:dyDescent="0.2">
      <c r="B16" s="106"/>
      <c r="C16" s="46" t="s">
        <v>51</v>
      </c>
      <c r="D16" s="62">
        <f>Munka1!H22</f>
        <v>0.85799999999999998</v>
      </c>
      <c r="E16" s="36" t="s">
        <v>19</v>
      </c>
      <c r="F16" s="63"/>
      <c r="G16" s="63"/>
    </row>
    <row r="17" spans="1:11" ht="18" x14ac:dyDescent="0.2">
      <c r="B17" s="107"/>
      <c r="C17" s="46" t="s">
        <v>52</v>
      </c>
      <c r="D17" s="62">
        <f>Munka1!H23</f>
        <v>1.43</v>
      </c>
      <c r="E17" s="36" t="s">
        <v>19</v>
      </c>
      <c r="F17" s="63"/>
      <c r="G17" s="63"/>
    </row>
    <row r="18" spans="1:11" ht="18.75" customHeight="1" x14ac:dyDescent="0.2">
      <c r="B18" s="97" t="s">
        <v>87</v>
      </c>
      <c r="C18" s="46" t="s">
        <v>69</v>
      </c>
      <c r="D18" s="62">
        <f>Anyagkimutatás!H25</f>
        <v>43.940799999999989</v>
      </c>
      <c r="E18" s="36" t="s">
        <v>19</v>
      </c>
      <c r="F18" s="63"/>
      <c r="G18" s="63"/>
    </row>
    <row r="19" spans="1:11" ht="18" x14ac:dyDescent="0.2">
      <c r="B19" s="97"/>
      <c r="C19" s="46" t="s">
        <v>70</v>
      </c>
      <c r="D19" s="64">
        <f>Munka1!R24</f>
        <v>2024.5880000000002</v>
      </c>
      <c r="E19" s="36" t="s">
        <v>85</v>
      </c>
      <c r="F19" s="63"/>
      <c r="G19" s="63"/>
    </row>
    <row r="20" spans="1:11" ht="16" x14ac:dyDescent="0.2">
      <c r="B20" s="59"/>
      <c r="C20" s="46" t="s">
        <v>99</v>
      </c>
      <c r="D20" s="64">
        <f>25*2*2*2+24*2</f>
        <v>248</v>
      </c>
      <c r="E20" s="36" t="s">
        <v>89</v>
      </c>
      <c r="F20" s="63"/>
      <c r="G20" s="63"/>
    </row>
    <row r="21" spans="1:11" ht="16" x14ac:dyDescent="0.2">
      <c r="B21" s="59"/>
      <c r="C21" s="46" t="s">
        <v>100</v>
      </c>
      <c r="D21" s="64"/>
      <c r="E21" s="36" t="s">
        <v>14</v>
      </c>
      <c r="F21" s="63"/>
      <c r="G21" s="63"/>
    </row>
    <row r="22" spans="1:11" ht="16" x14ac:dyDescent="0.2">
      <c r="B22" s="59"/>
      <c r="C22" s="46" t="s">
        <v>90</v>
      </c>
      <c r="D22" s="64">
        <f>Munka1!X5+Munka1!AA5+Munka1!AD5</f>
        <v>74</v>
      </c>
      <c r="E22" s="36" t="s">
        <v>89</v>
      </c>
      <c r="F22" s="63"/>
      <c r="G22" s="63"/>
      <c r="K22" s="58"/>
    </row>
    <row r="23" spans="1:11" ht="16" x14ac:dyDescent="0.2">
      <c r="B23" s="60"/>
      <c r="C23" s="98"/>
      <c r="D23" s="98"/>
      <c r="E23" s="98"/>
      <c r="F23" s="98"/>
      <c r="G23" s="65"/>
    </row>
    <row r="24" spans="1:11" ht="15.75" customHeight="1" x14ac:dyDescent="0.2">
      <c r="B24" s="61"/>
      <c r="C24" s="72" t="s">
        <v>55</v>
      </c>
      <c r="D24" s="72"/>
      <c r="E24" s="72"/>
      <c r="F24" s="72"/>
      <c r="G24" s="72"/>
    </row>
    <row r="25" spans="1:11" ht="18" x14ac:dyDescent="0.2">
      <c r="B25" s="61"/>
      <c r="C25" s="46" t="s">
        <v>91</v>
      </c>
      <c r="D25" s="62">
        <f>D18</f>
        <v>43.940799999999989</v>
      </c>
      <c r="E25" s="36" t="s">
        <v>19</v>
      </c>
      <c r="F25" s="63"/>
      <c r="G25" s="63"/>
    </row>
    <row r="26" spans="1:11" ht="18" x14ac:dyDescent="0.2">
      <c r="A26" s="57"/>
      <c r="B26" s="66"/>
      <c r="C26" s="46" t="s">
        <v>92</v>
      </c>
      <c r="D26" s="64">
        <f>D19</f>
        <v>2024.5880000000002</v>
      </c>
      <c r="E26" s="36" t="s">
        <v>85</v>
      </c>
      <c r="F26" s="67"/>
      <c r="G26" s="63"/>
    </row>
    <row r="27" spans="1:11" ht="16" x14ac:dyDescent="0.2">
      <c r="A27" s="57"/>
      <c r="B27" s="66"/>
      <c r="C27" s="46" t="s">
        <v>98</v>
      </c>
      <c r="D27" s="64">
        <v>1</v>
      </c>
      <c r="E27" s="36" t="s">
        <v>14</v>
      </c>
      <c r="F27" s="67"/>
      <c r="G27" s="63"/>
    </row>
    <row r="28" spans="1:11" ht="16" x14ac:dyDescent="0.2">
      <c r="A28" s="57"/>
      <c r="B28" s="66"/>
      <c r="C28" s="46" t="s">
        <v>93</v>
      </c>
      <c r="D28" s="68">
        <v>1</v>
      </c>
      <c r="E28" s="36" t="s">
        <v>14</v>
      </c>
      <c r="F28" s="67"/>
      <c r="G28" s="63"/>
    </row>
    <row r="29" spans="1:11" ht="15.75" customHeight="1" x14ac:dyDescent="0.2">
      <c r="A29" s="57"/>
      <c r="B29" s="66"/>
      <c r="C29" s="46" t="s">
        <v>94</v>
      </c>
      <c r="D29" s="64">
        <f>D22</f>
        <v>74</v>
      </c>
      <c r="E29" s="36" t="s">
        <v>89</v>
      </c>
      <c r="F29" s="67"/>
      <c r="G29" s="63"/>
    </row>
    <row r="30" spans="1:11" ht="16" x14ac:dyDescent="0.2">
      <c r="A30" s="57"/>
      <c r="B30" s="66"/>
      <c r="C30" s="46" t="s">
        <v>95</v>
      </c>
      <c r="D30" s="69">
        <v>1</v>
      </c>
      <c r="E30" s="36" t="s">
        <v>14</v>
      </c>
      <c r="F30" s="67"/>
      <c r="G30" s="63"/>
    </row>
    <row r="31" spans="1:11" ht="16" x14ac:dyDescent="0.2">
      <c r="A31" s="57"/>
      <c r="B31" s="66"/>
      <c r="C31" s="46" t="s">
        <v>96</v>
      </c>
      <c r="D31" s="69">
        <v>4</v>
      </c>
      <c r="E31" s="36" t="s">
        <v>89</v>
      </c>
      <c r="F31" s="67"/>
      <c r="G31" s="63"/>
    </row>
    <row r="32" spans="1:11" ht="16" x14ac:dyDescent="0.2">
      <c r="B32" s="61"/>
      <c r="C32" s="46" t="s">
        <v>97</v>
      </c>
      <c r="D32" s="69">
        <v>1</v>
      </c>
      <c r="E32" s="36" t="s">
        <v>89</v>
      </c>
      <c r="F32" s="67"/>
      <c r="G32" s="63"/>
    </row>
    <row r="33" spans="2:7" ht="16" x14ac:dyDescent="0.2">
      <c r="B33" s="61"/>
      <c r="C33" s="98"/>
      <c r="D33" s="98"/>
      <c r="E33" s="98"/>
      <c r="F33" s="98"/>
      <c r="G33" s="65"/>
    </row>
    <row r="34" spans="2:7" ht="16" x14ac:dyDescent="0.2">
      <c r="B34" s="61"/>
      <c r="C34" s="72" t="s">
        <v>101</v>
      </c>
      <c r="D34" s="72"/>
      <c r="E34" s="72"/>
      <c r="F34" s="72"/>
      <c r="G34" s="72"/>
    </row>
    <row r="35" spans="2:7" ht="16" x14ac:dyDescent="0.2">
      <c r="B35" s="61"/>
      <c r="C35" s="99"/>
      <c r="D35" s="100"/>
      <c r="E35" s="100"/>
      <c r="F35" s="100"/>
      <c r="G35" s="100"/>
    </row>
  </sheetData>
  <mergeCells count="12">
    <mergeCell ref="B8:B14"/>
    <mergeCell ref="B15:B17"/>
    <mergeCell ref="C35:G35"/>
    <mergeCell ref="C2:G2"/>
    <mergeCell ref="C4:G4"/>
    <mergeCell ref="C5:G5"/>
    <mergeCell ref="C7:G7"/>
    <mergeCell ref="B18:B19"/>
    <mergeCell ref="C23:F23"/>
    <mergeCell ref="C24:G24"/>
    <mergeCell ref="C33:F33"/>
    <mergeCell ref="C34:G34"/>
  </mergeCells>
  <pageMargins left="0.7" right="0.7" top="0.75" bottom="0.75" header="0.3" footer="0.3"/>
  <pageSetup paperSize="9" scale="75" orientation="portrait" r:id="rId1"/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R35"/>
  <sheetViews>
    <sheetView view="pageBreakPreview" zoomScaleNormal="100" zoomScaleSheetLayoutView="100" workbookViewId="0">
      <selection activeCell="N20" sqref="N20"/>
    </sheetView>
  </sheetViews>
  <sheetFormatPr baseColWidth="10" defaultColWidth="9.1640625" defaultRowHeight="15" x14ac:dyDescent="0.2"/>
  <cols>
    <col min="1" max="1" width="10.33203125" style="53" customWidth="1"/>
    <col min="2" max="2" width="6.5" style="53" customWidth="1"/>
    <col min="3" max="3" width="34.83203125" style="53" bestFit="1" customWidth="1"/>
    <col min="4" max="7" width="14" style="53" customWidth="1"/>
    <col min="8" max="16384" width="9.1640625" style="53"/>
  </cols>
  <sheetData>
    <row r="2" spans="2:18" ht="16" x14ac:dyDescent="0.2">
      <c r="B2" s="61"/>
      <c r="C2" s="85" t="s">
        <v>53</v>
      </c>
      <c r="D2" s="85"/>
      <c r="E2" s="85"/>
      <c r="F2" s="85"/>
      <c r="G2" s="85"/>
    </row>
    <row r="3" spans="2:18" ht="16" x14ac:dyDescent="0.2">
      <c r="B3" s="61"/>
      <c r="C3" s="61"/>
      <c r="D3" s="61"/>
      <c r="E3" s="61"/>
      <c r="F3" s="61"/>
      <c r="G3" s="61"/>
      <c r="K3" s="53" t="s">
        <v>61</v>
      </c>
      <c r="R3" s="53" t="s">
        <v>71</v>
      </c>
    </row>
    <row r="4" spans="2:18" ht="16" x14ac:dyDescent="0.2">
      <c r="B4" s="61"/>
      <c r="C4" s="85" t="s">
        <v>35</v>
      </c>
      <c r="D4" s="85"/>
      <c r="E4" s="85"/>
      <c r="F4" s="85"/>
      <c r="G4" s="85"/>
      <c r="K4" s="53" t="s">
        <v>65</v>
      </c>
      <c r="R4" s="53" t="s">
        <v>72</v>
      </c>
    </row>
    <row r="5" spans="2:18" ht="16" x14ac:dyDescent="0.2">
      <c r="B5" s="61"/>
      <c r="C5" s="72" t="s">
        <v>54</v>
      </c>
      <c r="D5" s="72"/>
      <c r="E5" s="72"/>
      <c r="F5" s="72"/>
      <c r="G5" s="72"/>
      <c r="K5" s="53" t="s">
        <v>62</v>
      </c>
      <c r="R5" s="53" t="s">
        <v>73</v>
      </c>
    </row>
    <row r="6" spans="2:18" ht="16" x14ac:dyDescent="0.2">
      <c r="B6" s="61"/>
      <c r="C6" s="46"/>
      <c r="D6" s="36" t="s">
        <v>57</v>
      </c>
      <c r="E6" s="36" t="s">
        <v>59</v>
      </c>
      <c r="F6" s="36" t="s">
        <v>58</v>
      </c>
      <c r="G6" s="36" t="s">
        <v>60</v>
      </c>
      <c r="K6" s="53" t="s">
        <v>64</v>
      </c>
      <c r="R6" s="53" t="s">
        <v>74</v>
      </c>
    </row>
    <row r="7" spans="2:18" ht="16" x14ac:dyDescent="0.2">
      <c r="B7" s="61"/>
      <c r="C7" s="101" t="s">
        <v>56</v>
      </c>
      <c r="D7" s="102"/>
      <c r="E7" s="102"/>
      <c r="F7" s="102"/>
      <c r="G7" s="103"/>
      <c r="K7" s="53" t="s">
        <v>63</v>
      </c>
      <c r="R7" s="53" t="s">
        <v>75</v>
      </c>
    </row>
    <row r="8" spans="2:18" ht="18.75" customHeight="1" x14ac:dyDescent="0.2">
      <c r="B8" s="104" t="s">
        <v>56</v>
      </c>
      <c r="C8" s="46" t="s">
        <v>15</v>
      </c>
      <c r="D8" s="62">
        <f>Munka1!H35</f>
        <v>8.7200000000000006</v>
      </c>
      <c r="E8" s="36" t="s">
        <v>19</v>
      </c>
      <c r="F8" s="63"/>
      <c r="G8" s="63"/>
      <c r="K8" s="53" t="s">
        <v>79</v>
      </c>
      <c r="R8" s="53" t="s">
        <v>76</v>
      </c>
    </row>
    <row r="9" spans="2:18" ht="18" x14ac:dyDescent="0.2">
      <c r="B9" s="104"/>
      <c r="C9" s="46" t="s">
        <v>0</v>
      </c>
      <c r="D9" s="62">
        <f>Munka1!H36</f>
        <v>2.6659999999999999</v>
      </c>
      <c r="E9" s="36" t="s">
        <v>19</v>
      </c>
      <c r="F9" s="63"/>
      <c r="G9" s="63"/>
      <c r="K9" s="53" t="s">
        <v>82</v>
      </c>
      <c r="R9" s="53" t="s">
        <v>77</v>
      </c>
    </row>
    <row r="10" spans="2:18" ht="18" x14ac:dyDescent="0.2">
      <c r="B10" s="104"/>
      <c r="C10" s="46" t="s">
        <v>1</v>
      </c>
      <c r="D10" s="62">
        <f>Munka1!H39</f>
        <v>6.3360000000000003</v>
      </c>
      <c r="E10" s="36" t="s">
        <v>19</v>
      </c>
      <c r="F10" s="63"/>
      <c r="G10" s="63"/>
      <c r="K10" s="53" t="s">
        <v>83</v>
      </c>
      <c r="R10" s="53" t="s">
        <v>78</v>
      </c>
    </row>
    <row r="11" spans="2:18" ht="18" x14ac:dyDescent="0.2">
      <c r="B11" s="104"/>
      <c r="C11" s="46" t="s">
        <v>20</v>
      </c>
      <c r="D11" s="62">
        <f>Munka1!H40</f>
        <v>4.4543999999999997</v>
      </c>
      <c r="E11" s="36" t="s">
        <v>19</v>
      </c>
      <c r="F11" s="63"/>
      <c r="G11" s="63"/>
      <c r="K11" s="53" t="s">
        <v>80</v>
      </c>
    </row>
    <row r="12" spans="2:18" ht="18" x14ac:dyDescent="0.2">
      <c r="B12" s="104"/>
      <c r="C12" s="46" t="s">
        <v>22</v>
      </c>
      <c r="D12" s="62">
        <f>Munka1!H41</f>
        <v>1.248</v>
      </c>
      <c r="E12" s="36" t="s">
        <v>19</v>
      </c>
      <c r="F12" s="63"/>
      <c r="G12" s="63"/>
      <c r="K12" s="53" t="s">
        <v>81</v>
      </c>
    </row>
    <row r="13" spans="2:18" ht="18" x14ac:dyDescent="0.2">
      <c r="B13" s="104"/>
      <c r="C13" s="46" t="s">
        <v>21</v>
      </c>
      <c r="D13" s="62">
        <f>Munka1!H45</f>
        <v>0.70699999999999996</v>
      </c>
      <c r="E13" s="36" t="s">
        <v>19</v>
      </c>
      <c r="F13" s="63"/>
      <c r="G13" s="63"/>
      <c r="K13" s="53" t="s">
        <v>66</v>
      </c>
    </row>
    <row r="14" spans="2:18" ht="18" x14ac:dyDescent="0.2">
      <c r="B14" s="104"/>
      <c r="C14" s="46" t="s">
        <v>31</v>
      </c>
      <c r="D14" s="62">
        <f>Munka1!O93</f>
        <v>5.61632</v>
      </c>
      <c r="E14" s="36" t="s">
        <v>19</v>
      </c>
      <c r="F14" s="63"/>
      <c r="G14" s="63"/>
      <c r="K14" s="53" t="s">
        <v>67</v>
      </c>
    </row>
    <row r="15" spans="2:18" ht="18" x14ac:dyDescent="0.2">
      <c r="B15" s="105" t="s">
        <v>86</v>
      </c>
      <c r="C15" s="46" t="s">
        <v>2</v>
      </c>
      <c r="D15" s="62">
        <f>Munka1!H46</f>
        <v>7.6440000000000001</v>
      </c>
      <c r="E15" s="36" t="s">
        <v>19</v>
      </c>
      <c r="F15" s="63"/>
      <c r="G15" s="63"/>
      <c r="K15" s="46"/>
      <c r="L15" s="55"/>
      <c r="M15" s="36"/>
      <c r="N15" s="56"/>
      <c r="O15" s="54"/>
    </row>
    <row r="16" spans="2:18" ht="18" x14ac:dyDescent="0.2">
      <c r="B16" s="106"/>
      <c r="C16" s="46" t="s">
        <v>51</v>
      </c>
      <c r="D16" s="62">
        <f>Munka1!H47</f>
        <v>0.6552</v>
      </c>
      <c r="E16" s="36" t="s">
        <v>19</v>
      </c>
      <c r="F16" s="63"/>
      <c r="G16" s="63"/>
    </row>
    <row r="17" spans="1:7" ht="18" x14ac:dyDescent="0.2">
      <c r="B17" s="107"/>
      <c r="C17" s="46" t="s">
        <v>52</v>
      </c>
      <c r="D17" s="62">
        <f>Munka1!H48</f>
        <v>1.0920000000000001</v>
      </c>
      <c r="E17" s="36" t="s">
        <v>19</v>
      </c>
      <c r="F17" s="63"/>
      <c r="G17" s="63"/>
    </row>
    <row r="18" spans="1:7" ht="18.75" customHeight="1" x14ac:dyDescent="0.2">
      <c r="B18" s="97" t="s">
        <v>87</v>
      </c>
      <c r="C18" s="46" t="s">
        <v>69</v>
      </c>
      <c r="D18" s="62">
        <f>Munka1!H49</f>
        <v>33.522600000000004</v>
      </c>
      <c r="E18" s="36" t="s">
        <v>19</v>
      </c>
      <c r="F18" s="63"/>
      <c r="G18" s="63"/>
    </row>
    <row r="19" spans="1:7" ht="18" x14ac:dyDescent="0.2">
      <c r="B19" s="97"/>
      <c r="C19" s="46" t="s">
        <v>70</v>
      </c>
      <c r="D19" s="64">
        <f>Munka1!R49</f>
        <v>1544.2820000000002</v>
      </c>
      <c r="E19" s="36" t="s">
        <v>85</v>
      </c>
      <c r="F19" s="63"/>
      <c r="G19" s="63"/>
    </row>
    <row r="20" spans="1:7" ht="16" x14ac:dyDescent="0.2">
      <c r="B20" s="59"/>
      <c r="C20" s="46" t="s">
        <v>99</v>
      </c>
      <c r="D20" s="64">
        <f>19*2*2*2+24*2</f>
        <v>200</v>
      </c>
      <c r="E20" s="36" t="s">
        <v>89</v>
      </c>
      <c r="F20" s="63"/>
      <c r="G20" s="63"/>
    </row>
    <row r="21" spans="1:7" ht="16" x14ac:dyDescent="0.2">
      <c r="B21" s="59"/>
      <c r="C21" s="46" t="s">
        <v>100</v>
      </c>
      <c r="D21" s="64"/>
      <c r="E21" s="36" t="s">
        <v>14</v>
      </c>
      <c r="F21" s="63"/>
      <c r="G21" s="63"/>
    </row>
    <row r="22" spans="1:7" ht="16" x14ac:dyDescent="0.2">
      <c r="B22" s="59"/>
      <c r="C22" s="46" t="s">
        <v>90</v>
      </c>
      <c r="D22" s="64">
        <f>Munka1!X6+Munka1!AA6+Munka1!AD6</f>
        <v>56</v>
      </c>
      <c r="E22" s="36" t="s">
        <v>89</v>
      </c>
      <c r="F22" s="63"/>
      <c r="G22" s="63"/>
    </row>
    <row r="23" spans="1:7" ht="16" x14ac:dyDescent="0.2">
      <c r="B23" s="60"/>
      <c r="C23" s="98"/>
      <c r="D23" s="98"/>
      <c r="E23" s="98"/>
      <c r="F23" s="98"/>
      <c r="G23" s="65"/>
    </row>
    <row r="24" spans="1:7" ht="15.75" customHeight="1" x14ac:dyDescent="0.2">
      <c r="B24" s="61"/>
      <c r="C24" s="72" t="s">
        <v>55</v>
      </c>
      <c r="D24" s="72"/>
      <c r="E24" s="72"/>
      <c r="F24" s="72"/>
      <c r="G24" s="72"/>
    </row>
    <row r="25" spans="1:7" ht="18" x14ac:dyDescent="0.2">
      <c r="B25" s="61"/>
      <c r="C25" s="46" t="s">
        <v>91</v>
      </c>
      <c r="D25" s="62">
        <f>D18</f>
        <v>33.522600000000004</v>
      </c>
      <c r="E25" s="36" t="s">
        <v>19</v>
      </c>
      <c r="F25" s="63"/>
      <c r="G25" s="63"/>
    </row>
    <row r="26" spans="1:7" ht="18" x14ac:dyDescent="0.2">
      <c r="A26" s="57"/>
      <c r="B26" s="66"/>
      <c r="C26" s="46" t="s">
        <v>92</v>
      </c>
      <c r="D26" s="64">
        <f>D19</f>
        <v>1544.2820000000002</v>
      </c>
      <c r="E26" s="36" t="s">
        <v>85</v>
      </c>
      <c r="F26" s="67"/>
      <c r="G26" s="63"/>
    </row>
    <row r="27" spans="1:7" ht="16" x14ac:dyDescent="0.2">
      <c r="A27" s="57"/>
      <c r="B27" s="66"/>
      <c r="C27" s="46" t="s">
        <v>98</v>
      </c>
      <c r="D27" s="64">
        <v>1</v>
      </c>
      <c r="E27" s="36" t="s">
        <v>14</v>
      </c>
      <c r="F27" s="67"/>
      <c r="G27" s="63"/>
    </row>
    <row r="28" spans="1:7" ht="16" x14ac:dyDescent="0.2">
      <c r="A28" s="57"/>
      <c r="B28" s="66"/>
      <c r="C28" s="46" t="s">
        <v>93</v>
      </c>
      <c r="D28" s="68">
        <v>1</v>
      </c>
      <c r="E28" s="36" t="s">
        <v>14</v>
      </c>
      <c r="F28" s="67"/>
      <c r="G28" s="63"/>
    </row>
    <row r="29" spans="1:7" ht="15.75" customHeight="1" x14ac:dyDescent="0.2">
      <c r="A29" s="57"/>
      <c r="B29" s="66"/>
      <c r="C29" s="46" t="s">
        <v>94</v>
      </c>
      <c r="D29" s="64">
        <f>D22</f>
        <v>56</v>
      </c>
      <c r="E29" s="36" t="s">
        <v>89</v>
      </c>
      <c r="F29" s="67"/>
      <c r="G29" s="63"/>
    </row>
    <row r="30" spans="1:7" ht="16" x14ac:dyDescent="0.2">
      <c r="A30" s="57"/>
      <c r="B30" s="66"/>
      <c r="C30" s="46" t="s">
        <v>95</v>
      </c>
      <c r="D30" s="69">
        <v>1</v>
      </c>
      <c r="E30" s="36" t="s">
        <v>14</v>
      </c>
      <c r="F30" s="67"/>
      <c r="G30" s="63"/>
    </row>
    <row r="31" spans="1:7" ht="16" x14ac:dyDescent="0.2">
      <c r="A31" s="57"/>
      <c r="B31" s="66"/>
      <c r="C31" s="46" t="s">
        <v>96</v>
      </c>
      <c r="D31" s="69">
        <v>5</v>
      </c>
      <c r="E31" s="36" t="s">
        <v>89</v>
      </c>
      <c r="F31" s="67"/>
      <c r="G31" s="63"/>
    </row>
    <row r="32" spans="1:7" ht="16" x14ac:dyDescent="0.2">
      <c r="B32" s="61"/>
      <c r="C32" s="46" t="s">
        <v>97</v>
      </c>
      <c r="D32" s="69">
        <v>1</v>
      </c>
      <c r="E32" s="36" t="s">
        <v>89</v>
      </c>
      <c r="F32" s="67"/>
      <c r="G32" s="63"/>
    </row>
    <row r="33" spans="2:7" ht="16" x14ac:dyDescent="0.2">
      <c r="B33" s="61"/>
      <c r="C33" s="98"/>
      <c r="D33" s="98"/>
      <c r="E33" s="98"/>
      <c r="F33" s="98"/>
      <c r="G33" s="65"/>
    </row>
    <row r="34" spans="2:7" ht="16" x14ac:dyDescent="0.2">
      <c r="B34" s="61"/>
      <c r="C34" s="72" t="s">
        <v>101</v>
      </c>
      <c r="D34" s="72"/>
      <c r="E34" s="72"/>
      <c r="F34" s="72"/>
      <c r="G34" s="72"/>
    </row>
    <row r="35" spans="2:7" ht="16" x14ac:dyDescent="0.2">
      <c r="B35" s="61"/>
      <c r="C35" s="99"/>
      <c r="D35" s="100"/>
      <c r="E35" s="100"/>
      <c r="F35" s="100"/>
      <c r="G35" s="100"/>
    </row>
  </sheetData>
  <mergeCells count="12">
    <mergeCell ref="B8:B14"/>
    <mergeCell ref="B15:B17"/>
    <mergeCell ref="C35:G35"/>
    <mergeCell ref="C2:G2"/>
    <mergeCell ref="C4:G4"/>
    <mergeCell ref="C5:G5"/>
    <mergeCell ref="C7:G7"/>
    <mergeCell ref="B18:B19"/>
    <mergeCell ref="C23:F23"/>
    <mergeCell ref="C24:G24"/>
    <mergeCell ref="C33:F33"/>
    <mergeCell ref="C34:G34"/>
  </mergeCells>
  <pageMargins left="0.7" right="0.7" top="0.75" bottom="0.75" header="0.3" footer="0.3"/>
  <pageSetup paperSize="9" scale="75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R35"/>
  <sheetViews>
    <sheetView view="pageBreakPreview" topLeftCell="A7" zoomScale="120" zoomScaleNormal="100" zoomScaleSheetLayoutView="120" workbookViewId="0">
      <selection activeCell="G28" sqref="G28"/>
    </sheetView>
  </sheetViews>
  <sheetFormatPr baseColWidth="10" defaultColWidth="9.1640625" defaultRowHeight="15" x14ac:dyDescent="0.2"/>
  <cols>
    <col min="1" max="1" width="10.33203125" style="53" customWidth="1"/>
    <col min="2" max="2" width="6.5" style="53" customWidth="1"/>
    <col min="3" max="3" width="34.83203125" style="53" bestFit="1" customWidth="1"/>
    <col min="4" max="7" width="14" style="53" customWidth="1"/>
    <col min="8" max="16384" width="9.1640625" style="53"/>
  </cols>
  <sheetData>
    <row r="2" spans="2:18" ht="16" x14ac:dyDescent="0.2">
      <c r="B2" s="61"/>
      <c r="C2" s="85" t="s">
        <v>53</v>
      </c>
      <c r="D2" s="85"/>
      <c r="E2" s="85"/>
      <c r="F2" s="85"/>
      <c r="G2" s="85"/>
    </row>
    <row r="3" spans="2:18" ht="16" x14ac:dyDescent="0.2">
      <c r="B3" s="61"/>
      <c r="C3" s="61"/>
      <c r="D3" s="61"/>
      <c r="E3" s="61"/>
      <c r="F3" s="61"/>
      <c r="G3" s="61"/>
      <c r="K3" s="53" t="s">
        <v>61</v>
      </c>
      <c r="R3" s="53" t="s">
        <v>71</v>
      </c>
    </row>
    <row r="4" spans="2:18" ht="16" x14ac:dyDescent="0.2">
      <c r="B4" s="61"/>
      <c r="C4" s="85" t="s">
        <v>36</v>
      </c>
      <c r="D4" s="85"/>
      <c r="E4" s="85"/>
      <c r="F4" s="85"/>
      <c r="G4" s="85"/>
      <c r="K4" s="53" t="s">
        <v>65</v>
      </c>
      <c r="R4" s="53" t="s">
        <v>72</v>
      </c>
    </row>
    <row r="5" spans="2:18" ht="16" x14ac:dyDescent="0.2">
      <c r="B5" s="61"/>
      <c r="C5" s="72" t="s">
        <v>54</v>
      </c>
      <c r="D5" s="72"/>
      <c r="E5" s="72"/>
      <c r="F5" s="72"/>
      <c r="G5" s="72"/>
      <c r="K5" s="53" t="s">
        <v>62</v>
      </c>
      <c r="R5" s="53" t="s">
        <v>73</v>
      </c>
    </row>
    <row r="6" spans="2:18" ht="16" x14ac:dyDescent="0.2">
      <c r="B6" s="61"/>
      <c r="C6" s="46"/>
      <c r="D6" s="36" t="s">
        <v>57</v>
      </c>
      <c r="E6" s="36" t="s">
        <v>59</v>
      </c>
      <c r="F6" s="36" t="s">
        <v>58</v>
      </c>
      <c r="G6" s="36" t="s">
        <v>60</v>
      </c>
      <c r="K6" s="53" t="s">
        <v>64</v>
      </c>
      <c r="R6" s="53" t="s">
        <v>74</v>
      </c>
    </row>
    <row r="7" spans="2:18" ht="16" x14ac:dyDescent="0.2">
      <c r="B7" s="61"/>
      <c r="C7" s="101" t="s">
        <v>56</v>
      </c>
      <c r="D7" s="102"/>
      <c r="E7" s="102"/>
      <c r="F7" s="102"/>
      <c r="G7" s="103"/>
      <c r="K7" s="53" t="s">
        <v>63</v>
      </c>
      <c r="R7" s="53" t="s">
        <v>75</v>
      </c>
    </row>
    <row r="8" spans="2:18" ht="18.75" customHeight="1" x14ac:dyDescent="0.2">
      <c r="B8" s="104" t="s">
        <v>56</v>
      </c>
      <c r="C8" s="46" t="s">
        <v>15</v>
      </c>
      <c r="D8" s="62">
        <f>Munka1!H61</f>
        <v>8.2880000000000003</v>
      </c>
      <c r="E8" s="36" t="s">
        <v>19</v>
      </c>
      <c r="F8" s="63"/>
      <c r="G8" s="63"/>
      <c r="K8" s="53" t="s">
        <v>79</v>
      </c>
      <c r="R8" s="53" t="s">
        <v>76</v>
      </c>
    </row>
    <row r="9" spans="2:18" ht="18" x14ac:dyDescent="0.2">
      <c r="B9" s="104"/>
      <c r="C9" s="46" t="s">
        <v>0</v>
      </c>
      <c r="D9" s="62">
        <f>Munka1!H62</f>
        <v>2.5419999999999998</v>
      </c>
      <c r="E9" s="36" t="s">
        <v>19</v>
      </c>
      <c r="F9" s="63"/>
      <c r="G9" s="63"/>
      <c r="K9" s="53" t="s">
        <v>82</v>
      </c>
      <c r="R9" s="53" t="s">
        <v>77</v>
      </c>
    </row>
    <row r="10" spans="2:18" ht="18" x14ac:dyDescent="0.2">
      <c r="B10" s="104"/>
      <c r="C10" s="46" t="s">
        <v>1</v>
      </c>
      <c r="D10" s="62">
        <f>Munka1!H65</f>
        <v>5.952</v>
      </c>
      <c r="E10" s="36" t="s">
        <v>19</v>
      </c>
      <c r="F10" s="63"/>
      <c r="G10" s="63"/>
      <c r="K10" s="53" t="s">
        <v>83</v>
      </c>
      <c r="R10" s="53" t="s">
        <v>78</v>
      </c>
    </row>
    <row r="11" spans="2:18" ht="18" x14ac:dyDescent="0.2">
      <c r="B11" s="104"/>
      <c r="C11" s="46" t="s">
        <v>20</v>
      </c>
      <c r="D11" s="62">
        <f>Munka1!H66</f>
        <v>4.2687999999999997</v>
      </c>
      <c r="E11" s="36" t="s">
        <v>19</v>
      </c>
      <c r="F11" s="63"/>
      <c r="G11" s="63"/>
      <c r="K11" s="53" t="s">
        <v>80</v>
      </c>
    </row>
    <row r="12" spans="2:18" ht="18" x14ac:dyDescent="0.2">
      <c r="B12" s="104"/>
      <c r="C12" s="46" t="s">
        <v>22</v>
      </c>
      <c r="D12" s="62">
        <f>Munka1!H67</f>
        <v>1.196</v>
      </c>
      <c r="E12" s="36" t="s">
        <v>19</v>
      </c>
      <c r="F12" s="63"/>
      <c r="G12" s="63"/>
      <c r="K12" s="53" t="s">
        <v>81</v>
      </c>
    </row>
    <row r="13" spans="2:18" ht="18" x14ac:dyDescent="0.2">
      <c r="B13" s="104"/>
      <c r="C13" s="46" t="s">
        <v>21</v>
      </c>
      <c r="D13" s="62">
        <f>Munka1!H70</f>
        <v>0.68200000000000005</v>
      </c>
      <c r="E13" s="36" t="s">
        <v>19</v>
      </c>
      <c r="F13" s="63"/>
      <c r="G13" s="63"/>
      <c r="K13" s="53" t="s">
        <v>66</v>
      </c>
    </row>
    <row r="14" spans="2:18" ht="18" x14ac:dyDescent="0.2">
      <c r="B14" s="104"/>
      <c r="C14" s="46" t="s">
        <v>31</v>
      </c>
      <c r="D14" s="62">
        <f>Munka1!Q93</f>
        <v>5.61632</v>
      </c>
      <c r="E14" s="36" t="s">
        <v>19</v>
      </c>
      <c r="F14" s="63"/>
      <c r="G14" s="63"/>
      <c r="K14" s="53" t="s">
        <v>67</v>
      </c>
    </row>
    <row r="15" spans="2:18" ht="18" x14ac:dyDescent="0.2">
      <c r="B15" s="105" t="s">
        <v>86</v>
      </c>
      <c r="C15" s="46" t="s">
        <v>2</v>
      </c>
      <c r="D15" s="62">
        <f>Munka1!H71</f>
        <v>7.266</v>
      </c>
      <c r="E15" s="36" t="s">
        <v>19</v>
      </c>
      <c r="F15" s="63"/>
      <c r="G15" s="63"/>
      <c r="K15" s="46"/>
      <c r="L15" s="55"/>
      <c r="M15" s="36"/>
      <c r="N15" s="56"/>
      <c r="O15" s="54"/>
    </row>
    <row r="16" spans="2:18" ht="18" x14ac:dyDescent="0.2">
      <c r="B16" s="106"/>
      <c r="C16" s="46" t="s">
        <v>51</v>
      </c>
      <c r="D16" s="62">
        <f>Munka1!H72</f>
        <v>0.62280000000000002</v>
      </c>
      <c r="E16" s="36" t="s">
        <v>19</v>
      </c>
      <c r="F16" s="63"/>
      <c r="G16" s="63"/>
    </row>
    <row r="17" spans="1:11" ht="18" x14ac:dyDescent="0.2">
      <c r="B17" s="107"/>
      <c r="C17" s="46" t="s">
        <v>52</v>
      </c>
      <c r="D17" s="62">
        <f>Munka1!H73</f>
        <v>1.038</v>
      </c>
      <c r="E17" s="36" t="s">
        <v>19</v>
      </c>
      <c r="F17" s="63"/>
      <c r="G17" s="63"/>
    </row>
    <row r="18" spans="1:11" ht="18.75" customHeight="1" x14ac:dyDescent="0.2">
      <c r="B18" s="97" t="s">
        <v>87</v>
      </c>
      <c r="C18" s="46" t="s">
        <v>69</v>
      </c>
      <c r="D18" s="62">
        <f>Munka1!H74</f>
        <v>31.855600000000003</v>
      </c>
      <c r="E18" s="36" t="s">
        <v>19</v>
      </c>
      <c r="F18" s="63"/>
      <c r="G18" s="63"/>
    </row>
    <row r="19" spans="1:11" ht="18" x14ac:dyDescent="0.2">
      <c r="B19" s="97"/>
      <c r="C19" s="46" t="s">
        <v>70</v>
      </c>
      <c r="D19" s="64">
        <f>Munka1!R74</f>
        <v>1419.5439999999999</v>
      </c>
      <c r="E19" s="36" t="s">
        <v>85</v>
      </c>
      <c r="F19" s="63"/>
      <c r="G19" s="63"/>
    </row>
    <row r="20" spans="1:11" ht="16" x14ac:dyDescent="0.2">
      <c r="B20" s="59"/>
      <c r="C20" s="46" t="s">
        <v>99</v>
      </c>
      <c r="D20" s="64">
        <f>18*2*2*2+24*2</f>
        <v>192</v>
      </c>
      <c r="E20" s="36" t="s">
        <v>89</v>
      </c>
      <c r="F20" s="63"/>
      <c r="G20" s="63"/>
    </row>
    <row r="21" spans="1:11" ht="16" x14ac:dyDescent="0.2">
      <c r="B21" s="59"/>
      <c r="C21" s="46" t="s">
        <v>100</v>
      </c>
      <c r="D21" s="64"/>
      <c r="E21" s="36" t="s">
        <v>14</v>
      </c>
      <c r="F21" s="63"/>
      <c r="G21" s="63"/>
    </row>
    <row r="22" spans="1:11" ht="16" x14ac:dyDescent="0.2">
      <c r="B22" s="59"/>
      <c r="C22" s="46" t="s">
        <v>90</v>
      </c>
      <c r="D22" s="64">
        <f>Munka1!X7+Munka1!AA7+Munka1!AD7</f>
        <v>56</v>
      </c>
      <c r="E22" s="36" t="s">
        <v>89</v>
      </c>
      <c r="F22" s="63"/>
      <c r="G22" s="63"/>
      <c r="K22" s="58"/>
    </row>
    <row r="23" spans="1:11" ht="16" x14ac:dyDescent="0.2">
      <c r="B23" s="60"/>
      <c r="C23" s="98"/>
      <c r="D23" s="98"/>
      <c r="E23" s="98"/>
      <c r="F23" s="98"/>
      <c r="G23" s="65"/>
    </row>
    <row r="24" spans="1:11" ht="15.75" customHeight="1" x14ac:dyDescent="0.2">
      <c r="B24" s="61"/>
      <c r="C24" s="72" t="s">
        <v>55</v>
      </c>
      <c r="D24" s="72"/>
      <c r="E24" s="72"/>
      <c r="F24" s="72"/>
      <c r="G24" s="72"/>
    </row>
    <row r="25" spans="1:11" ht="18" x14ac:dyDescent="0.2">
      <c r="B25" s="61"/>
      <c r="C25" s="46" t="s">
        <v>91</v>
      </c>
      <c r="D25" s="62">
        <f>D18</f>
        <v>31.855600000000003</v>
      </c>
      <c r="E25" s="36" t="s">
        <v>19</v>
      </c>
      <c r="F25" s="63"/>
      <c r="G25" s="63"/>
    </row>
    <row r="26" spans="1:11" ht="18" x14ac:dyDescent="0.2">
      <c r="A26" s="57"/>
      <c r="B26" s="66"/>
      <c r="C26" s="46" t="s">
        <v>92</v>
      </c>
      <c r="D26" s="64">
        <f>D19</f>
        <v>1419.5439999999999</v>
      </c>
      <c r="E26" s="36" t="s">
        <v>85</v>
      </c>
      <c r="F26" s="67"/>
      <c r="G26" s="63"/>
    </row>
    <row r="27" spans="1:11" ht="16" x14ac:dyDescent="0.2">
      <c r="A27" s="57"/>
      <c r="B27" s="66"/>
      <c r="C27" s="46" t="s">
        <v>98</v>
      </c>
      <c r="D27" s="64">
        <v>1</v>
      </c>
      <c r="E27" s="36" t="s">
        <v>14</v>
      </c>
      <c r="F27" s="67"/>
      <c r="G27" s="63"/>
    </row>
    <row r="28" spans="1:11" ht="16" x14ac:dyDescent="0.2">
      <c r="A28" s="57"/>
      <c r="B28" s="66"/>
      <c r="C28" s="46" t="s">
        <v>93</v>
      </c>
      <c r="D28" s="68">
        <v>1</v>
      </c>
      <c r="E28" s="36" t="s">
        <v>14</v>
      </c>
      <c r="F28" s="67"/>
      <c r="G28" s="63"/>
    </row>
    <row r="29" spans="1:11" ht="15.75" customHeight="1" x14ac:dyDescent="0.2">
      <c r="A29" s="57"/>
      <c r="B29" s="66"/>
      <c r="C29" s="46" t="s">
        <v>94</v>
      </c>
      <c r="D29" s="64">
        <f>D22</f>
        <v>56</v>
      </c>
      <c r="E29" s="36" t="s">
        <v>89</v>
      </c>
      <c r="F29" s="67"/>
      <c r="G29" s="63"/>
    </row>
    <row r="30" spans="1:11" ht="16" x14ac:dyDescent="0.2">
      <c r="A30" s="57"/>
      <c r="B30" s="66"/>
      <c r="C30" s="46" t="s">
        <v>95</v>
      </c>
      <c r="D30" s="69">
        <v>1</v>
      </c>
      <c r="E30" s="36" t="s">
        <v>14</v>
      </c>
      <c r="F30" s="67"/>
      <c r="G30" s="63"/>
    </row>
    <row r="31" spans="1:11" ht="16" x14ac:dyDescent="0.2">
      <c r="A31" s="57"/>
      <c r="B31" s="66"/>
      <c r="C31" s="46" t="s">
        <v>96</v>
      </c>
      <c r="D31" s="69">
        <v>4</v>
      </c>
      <c r="E31" s="36" t="s">
        <v>89</v>
      </c>
      <c r="F31" s="67"/>
      <c r="G31" s="63"/>
    </row>
    <row r="32" spans="1:11" ht="16" x14ac:dyDescent="0.2">
      <c r="B32" s="61"/>
      <c r="C32" s="46" t="s">
        <v>97</v>
      </c>
      <c r="D32" s="69">
        <v>1</v>
      </c>
      <c r="E32" s="36" t="s">
        <v>89</v>
      </c>
      <c r="F32" s="67"/>
      <c r="G32" s="63"/>
    </row>
    <row r="33" spans="2:7" ht="16" x14ac:dyDescent="0.2">
      <c r="B33" s="61"/>
      <c r="C33" s="98"/>
      <c r="D33" s="98"/>
      <c r="E33" s="98"/>
      <c r="F33" s="98"/>
      <c r="G33" s="65"/>
    </row>
    <row r="34" spans="2:7" ht="16" x14ac:dyDescent="0.2">
      <c r="B34" s="61"/>
      <c r="C34" s="72" t="s">
        <v>101</v>
      </c>
      <c r="D34" s="72"/>
      <c r="E34" s="72"/>
      <c r="F34" s="72"/>
      <c r="G34" s="72"/>
    </row>
    <row r="35" spans="2:7" ht="16" x14ac:dyDescent="0.2">
      <c r="B35" s="61"/>
      <c r="C35" s="99"/>
      <c r="D35" s="100"/>
      <c r="E35" s="100"/>
      <c r="F35" s="100"/>
      <c r="G35" s="100"/>
    </row>
  </sheetData>
  <mergeCells count="12">
    <mergeCell ref="B8:B14"/>
    <mergeCell ref="B15:B17"/>
    <mergeCell ref="C35:G35"/>
    <mergeCell ref="C2:G2"/>
    <mergeCell ref="C4:G4"/>
    <mergeCell ref="C5:G5"/>
    <mergeCell ref="C7:G7"/>
    <mergeCell ref="B18:B19"/>
    <mergeCell ref="C23:F23"/>
    <mergeCell ref="C24:G24"/>
    <mergeCell ref="C33:F33"/>
    <mergeCell ref="C34:G34"/>
  </mergeCells>
  <pageMargins left="0.7" right="0.7" top="0.75" bottom="0.75" header="0.3" footer="0.3"/>
  <pageSetup paperSize="9" scale="75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Munka1</vt:lpstr>
      <vt:lpstr>Anyagkimutatás</vt:lpstr>
      <vt:lpstr>Költségvetés 1 (2)</vt:lpstr>
      <vt:lpstr>Költségvetés 2 (2)</vt:lpstr>
      <vt:lpstr>Költségvetés 3 (2)</vt:lpstr>
      <vt:lpstr>Anyagkimutatás!Nyomtatási_terület</vt:lpstr>
      <vt:lpstr>'Költségvetés 1 (2)'!Nyomtatási_terület</vt:lpstr>
      <vt:lpstr>'Költségvetés 2 (2)'!Nyomtatási_terület</vt:lpstr>
      <vt:lpstr>'Költségvetés 3 (2)'!Nyomtatási_terület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Microsoft Office User</cp:lastModifiedBy>
  <cp:lastPrinted>2018-02-25T00:52:57Z</cp:lastPrinted>
  <dcterms:created xsi:type="dcterms:W3CDTF">2017-02-17T00:48:04Z</dcterms:created>
  <dcterms:modified xsi:type="dcterms:W3CDTF">2018-04-13T17:45:21Z</dcterms:modified>
</cp:coreProperties>
</file>