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1.CimrendI" sheetId="1" r:id="rId1"/>
    <sheet name="2.CimrendII" sheetId="2" r:id="rId2"/>
    <sheet name="3.mérleg " sheetId="3" r:id="rId3"/>
    <sheet name="4.mérleg működési" sheetId="4" r:id="rId4"/>
    <sheet name="5.mérleg felhalmozási" sheetId="5" r:id="rId5"/>
    <sheet name="6. bev-kiad" sheetId="6" r:id="rId6"/>
    <sheet name="7.int.-i bevételek" sheetId="7" r:id="rId7"/>
    <sheet name="8.önállóak kiad." sheetId="8" r:id="rId8"/>
    <sheet name="9.szakfeladatos" sheetId="9" r:id="rId9"/>
    <sheet name="10.támogatások" sheetId="10" r:id="rId10"/>
    <sheet name="11. Felhalm." sheetId="11" r:id="rId11"/>
  </sheets>
  <definedNames>
    <definedName name="_xlnm.Print_Area" localSheetId="10">'11. Felhalm.'!$A$1:$E$106</definedName>
  </definedNames>
  <calcPr fullCalcOnLoad="1"/>
</workbook>
</file>

<file path=xl/sharedStrings.xml><?xml version="1.0" encoding="utf-8"?>
<sst xmlns="http://schemas.openxmlformats.org/spreadsheetml/2006/main" count="827" uniqueCount="524">
  <si>
    <t>A</t>
  </si>
  <si>
    <t>B</t>
  </si>
  <si>
    <t>Sorszám</t>
  </si>
  <si>
    <t>Megnevezés</t>
  </si>
  <si>
    <t>1.</t>
  </si>
  <si>
    <t>Várday István Városi Könyvtár</t>
  </si>
  <si>
    <t>2.</t>
  </si>
  <si>
    <t>Várszínház és Művészetek Háza</t>
  </si>
  <si>
    <t>3.</t>
  </si>
  <si>
    <t>Városi Egészségügyi Alapellátás</t>
  </si>
  <si>
    <t>4.</t>
  </si>
  <si>
    <t>Önkormányzat</t>
  </si>
  <si>
    <t>5.</t>
  </si>
  <si>
    <t>Csillag-Közi Központi Társulási Óvoda</t>
  </si>
  <si>
    <t>Kistérségi Szociális Szolgálat</t>
  </si>
  <si>
    <t>Rétközi Múzeum</t>
  </si>
  <si>
    <t>2013. évi terv létszám</t>
  </si>
  <si>
    <t>2013. 03.01-től</t>
  </si>
  <si>
    <t>2013. 07.01-től</t>
  </si>
  <si>
    <t>Közhasznú és közcélú foglalkoztatás</t>
  </si>
  <si>
    <t>Összesen:</t>
  </si>
  <si>
    <t>1. Bevételek</t>
  </si>
  <si>
    <t>C</t>
  </si>
  <si>
    <t>D</t>
  </si>
  <si>
    <t>E</t>
  </si>
  <si>
    <t>F</t>
  </si>
  <si>
    <t xml:space="preserve">Bevételek </t>
  </si>
  <si>
    <t>2012. évi tény</t>
  </si>
  <si>
    <t>2013. évi terv</t>
  </si>
  <si>
    <t>%</t>
  </si>
  <si>
    <t>I.   Működési bevételek</t>
  </si>
  <si>
    <t xml:space="preserve">    1.  Intézményi működési bevételek</t>
  </si>
  <si>
    <t xml:space="preserve">        OEP finansz. intézmény működési bevétel</t>
  </si>
  <si>
    <t xml:space="preserve">    2. Önkormányzat sajátos működési bevételei</t>
  </si>
  <si>
    <t xml:space="preserve">       Iparűzési</t>
  </si>
  <si>
    <t>6.</t>
  </si>
  <si>
    <t xml:space="preserve">       Kommunális</t>
  </si>
  <si>
    <t>7.</t>
  </si>
  <si>
    <t xml:space="preserve">       Idegenforgalmi</t>
  </si>
  <si>
    <t>8.</t>
  </si>
  <si>
    <t xml:space="preserve">       Átengedett központi adó gépjármű</t>
  </si>
  <si>
    <t>9.</t>
  </si>
  <si>
    <t xml:space="preserve">       SZJA </t>
  </si>
  <si>
    <t>10.</t>
  </si>
  <si>
    <t xml:space="preserve">       Egyéb sajátos bevétel</t>
  </si>
  <si>
    <t>11.</t>
  </si>
  <si>
    <t xml:space="preserve">       Bírság, pótlék,egyéb</t>
  </si>
  <si>
    <t>12.</t>
  </si>
  <si>
    <t>13.</t>
  </si>
  <si>
    <t>II. Támogatások</t>
  </si>
  <si>
    <t>14.</t>
  </si>
  <si>
    <t xml:space="preserve">       Normatív hozzájárulás</t>
  </si>
  <si>
    <t>15.</t>
  </si>
  <si>
    <t xml:space="preserve">       Kötött felhasználású normatíva</t>
  </si>
  <si>
    <t>16.</t>
  </si>
  <si>
    <t xml:space="preserve">       Színház támogatás</t>
  </si>
  <si>
    <t>17.</t>
  </si>
  <si>
    <t xml:space="preserve">       Központosított szociális támogatás</t>
  </si>
  <si>
    <t>18.</t>
  </si>
  <si>
    <t xml:space="preserve">       Központosított </t>
  </si>
  <si>
    <t>19.</t>
  </si>
  <si>
    <t xml:space="preserve">       Egyéb felhalm.célú tám. (adósságkonszolidáció) </t>
  </si>
  <si>
    <t>20.</t>
  </si>
  <si>
    <t xml:space="preserve">       Egyéb működési célú tám. (adósságkonszolidáció) </t>
  </si>
  <si>
    <t>21.</t>
  </si>
  <si>
    <t xml:space="preserve">       Felhalmozási ktgvetési támogatás</t>
  </si>
  <si>
    <t>22.</t>
  </si>
  <si>
    <t xml:space="preserve">       ÖNHIKI</t>
  </si>
  <si>
    <t>23.</t>
  </si>
  <si>
    <t>III. Felhalmozási és tőkejellegű bevételek</t>
  </si>
  <si>
    <t>24.</t>
  </si>
  <si>
    <t xml:space="preserve">     1. Tárgyi eszközök, immateriális javak értékesítése</t>
  </si>
  <si>
    <t>25.</t>
  </si>
  <si>
    <t xml:space="preserve">     2. Önkormányzat sajátos tőke jellegű bevétele</t>
  </si>
  <si>
    <t>26.</t>
  </si>
  <si>
    <t xml:space="preserve">     3. Pénzügyi befektetések bevételei</t>
  </si>
  <si>
    <t>27.</t>
  </si>
  <si>
    <t xml:space="preserve">     4. Egyéb felhalmozási célú bevételek</t>
  </si>
  <si>
    <t>28.</t>
  </si>
  <si>
    <t>IV. Támogatás értékű bevétel</t>
  </si>
  <si>
    <t>29.</t>
  </si>
  <si>
    <t xml:space="preserve">     1. Támogatás értékű működési bevétel</t>
  </si>
  <si>
    <t>30.</t>
  </si>
  <si>
    <t>31.</t>
  </si>
  <si>
    <t>32.</t>
  </si>
  <si>
    <t>33.</t>
  </si>
  <si>
    <t>V.  Véglegesen átvett pénzeszköz</t>
  </si>
  <si>
    <t>34.</t>
  </si>
  <si>
    <t xml:space="preserve">    1. Működési célú pénzeszköz államháztartáson kívülről</t>
  </si>
  <si>
    <t>35.</t>
  </si>
  <si>
    <t xml:space="preserve">    2. Felhalmozási pénzeszköz államháztartáson kívülről</t>
  </si>
  <si>
    <t>36.</t>
  </si>
  <si>
    <t>VI. Támogatási kölcsönök visszatérülése</t>
  </si>
  <si>
    <t>37.</t>
  </si>
  <si>
    <t>38.</t>
  </si>
  <si>
    <t>Költségvetési bevételek összesen I+II+III+IV+V+VI</t>
  </si>
  <si>
    <t>39.</t>
  </si>
  <si>
    <t>VII. Pénzforgalom nélküli bevétel</t>
  </si>
  <si>
    <t>40.</t>
  </si>
  <si>
    <t xml:space="preserve">    1.1. Előző évi várható pénzmaradvány igénybevétel működési</t>
  </si>
  <si>
    <t>41.</t>
  </si>
  <si>
    <t xml:space="preserve">    1.2. Előző évi várható pénzmaradvány igénybevétel felhalmozási</t>
  </si>
  <si>
    <t>42.</t>
  </si>
  <si>
    <t xml:space="preserve">    2. Előző évek vállalkozási maradvány igénybevétele</t>
  </si>
  <si>
    <t>43.</t>
  </si>
  <si>
    <t>44.</t>
  </si>
  <si>
    <t>VIII. Értékpapírok értékesítése, kibocsátása</t>
  </si>
  <si>
    <t>45.</t>
  </si>
  <si>
    <t xml:space="preserve">   1. Forgatási célú értékpapírok bevételei</t>
  </si>
  <si>
    <t>46.</t>
  </si>
  <si>
    <t xml:space="preserve">   2. Befektetési célú értékpapírok bevételei</t>
  </si>
  <si>
    <t>47.</t>
  </si>
  <si>
    <t>IX. Kötvények kibocsátásának bevétele</t>
  </si>
  <si>
    <t>48.</t>
  </si>
  <si>
    <t>X. Hitelek</t>
  </si>
  <si>
    <t>49.</t>
  </si>
  <si>
    <t xml:space="preserve">    Működési célú hitel felvétele (konszolidáció)</t>
  </si>
  <si>
    <t>50.</t>
  </si>
  <si>
    <t xml:space="preserve">    Likvid hitel felvétele</t>
  </si>
  <si>
    <t>51.</t>
  </si>
  <si>
    <t xml:space="preserve">    Felhalmozási célú hitel felvétele</t>
  </si>
  <si>
    <t>52.</t>
  </si>
  <si>
    <t>XI. Függő, átfutó bevételek</t>
  </si>
  <si>
    <t>53.</t>
  </si>
  <si>
    <t>54.</t>
  </si>
  <si>
    <t>Finanszírozási célú műveletek bevétele VIII+IX+X+XI</t>
  </si>
  <si>
    <t>55.</t>
  </si>
  <si>
    <t>2. Kiadások</t>
  </si>
  <si>
    <t xml:space="preserve">Kiadások </t>
  </si>
  <si>
    <t>2012 évi tény</t>
  </si>
  <si>
    <t>56.</t>
  </si>
  <si>
    <t>I.  Működési kiadások</t>
  </si>
  <si>
    <t>57.</t>
  </si>
  <si>
    <t xml:space="preserve">      Intézményi kiadások</t>
  </si>
  <si>
    <t>58.</t>
  </si>
  <si>
    <t xml:space="preserve">      OEP intézmény</t>
  </si>
  <si>
    <t>59.</t>
  </si>
  <si>
    <t xml:space="preserve">      Önkormányzat</t>
  </si>
  <si>
    <t>60.</t>
  </si>
  <si>
    <t>61.</t>
  </si>
  <si>
    <t>Ebből:</t>
  </si>
  <si>
    <t>62.</t>
  </si>
  <si>
    <t xml:space="preserve">      Személyi juttatások</t>
  </si>
  <si>
    <t>63.</t>
  </si>
  <si>
    <t xml:space="preserve">      Munkaadót terhelő járulék</t>
  </si>
  <si>
    <t>64.</t>
  </si>
  <si>
    <t xml:space="preserve">      Ellátottak pénzbeli juttatásai</t>
  </si>
  <si>
    <t>65.</t>
  </si>
  <si>
    <t xml:space="preserve">      Dologi és egyéb folyó kiadások</t>
  </si>
  <si>
    <t>66.</t>
  </si>
  <si>
    <t xml:space="preserve">      Normatív visszafizetés</t>
  </si>
  <si>
    <t>67.</t>
  </si>
  <si>
    <t xml:space="preserve">      Kamat kiadás</t>
  </si>
  <si>
    <t>68.</t>
  </si>
  <si>
    <t xml:space="preserve">      Támogatásértékű kiadás, működési pénzeszköz átadás</t>
  </si>
  <si>
    <t>69.</t>
  </si>
  <si>
    <t xml:space="preserve">  Társadalom- és szociálpolitikai juttatás</t>
  </si>
  <si>
    <t>70.</t>
  </si>
  <si>
    <t xml:space="preserve">  Kölcsönök nyújtása</t>
  </si>
  <si>
    <t>71.</t>
  </si>
  <si>
    <t xml:space="preserve">  Működési célú pénzmaradvány átadás</t>
  </si>
  <si>
    <t>72.</t>
  </si>
  <si>
    <t xml:space="preserve">  Garancia- és kezességvállalás kiadásai</t>
  </si>
  <si>
    <t>73.</t>
  </si>
  <si>
    <t>74.</t>
  </si>
  <si>
    <t>II.  Felhalmozási kiadások</t>
  </si>
  <si>
    <t>75.</t>
  </si>
  <si>
    <t xml:space="preserve">     Beruházások</t>
  </si>
  <si>
    <t>76.</t>
  </si>
  <si>
    <t xml:space="preserve">     Felújítások</t>
  </si>
  <si>
    <t>77.</t>
  </si>
  <si>
    <t xml:space="preserve"> Felhalmozási célú kamatkiadások</t>
  </si>
  <si>
    <t>78.</t>
  </si>
  <si>
    <t xml:space="preserve">     Támogatásértékű és felhalmozási pénzeszköz átadás</t>
  </si>
  <si>
    <t>79.</t>
  </si>
  <si>
    <t xml:space="preserve"> Felhalmozási célú kölcsönök nyújtása</t>
  </si>
  <si>
    <t>80.</t>
  </si>
  <si>
    <t xml:space="preserve">     Egyéb felhalmozási célú kiadások</t>
  </si>
  <si>
    <t>81.</t>
  </si>
  <si>
    <t xml:space="preserve"> Pénzügyi befektetések kiadásai</t>
  </si>
  <si>
    <t>82.</t>
  </si>
  <si>
    <t xml:space="preserve"> Felhalmozási célú pénzmaradvány átadás</t>
  </si>
  <si>
    <t>83.</t>
  </si>
  <si>
    <t>84.</t>
  </si>
  <si>
    <t>III. Tartalék</t>
  </si>
  <si>
    <t>85.</t>
  </si>
  <si>
    <t xml:space="preserve">     Céltartalék</t>
  </si>
  <si>
    <t>86.</t>
  </si>
  <si>
    <t xml:space="preserve">     Általános tartalék</t>
  </si>
  <si>
    <t>87.</t>
  </si>
  <si>
    <t xml:space="preserve">     Felhalmozási tartalék</t>
  </si>
  <si>
    <t>88.</t>
  </si>
  <si>
    <t>IV. Egyéb kiadások</t>
  </si>
  <si>
    <t>89.</t>
  </si>
  <si>
    <t>Költségvetési kiadások összesen I+II+III+IV</t>
  </si>
  <si>
    <t>90.</t>
  </si>
  <si>
    <t>V. Hitelek törlesztése</t>
  </si>
  <si>
    <t>91.</t>
  </si>
  <si>
    <t xml:space="preserve">      Felhalmozási célú hitel törlesztése</t>
  </si>
  <si>
    <t>92.</t>
  </si>
  <si>
    <t xml:space="preserve">      Működési célú hitel törlesztés</t>
  </si>
  <si>
    <t>93.</t>
  </si>
  <si>
    <t xml:space="preserve">      Likvid hitelek törlesztése</t>
  </si>
  <si>
    <t>94.</t>
  </si>
  <si>
    <t xml:space="preserve">      Kötvény törlesztés</t>
  </si>
  <si>
    <t>95.</t>
  </si>
  <si>
    <t>Vi. Értékpapírok beváltása, vásárlása</t>
  </si>
  <si>
    <t>96.</t>
  </si>
  <si>
    <t xml:space="preserve">  Forgatási célú értékpapír beváltása, vásárlása</t>
  </si>
  <si>
    <t>97.</t>
  </si>
  <si>
    <t xml:space="preserve">  Befektetési célú értékpapír beváltása, vásárlása</t>
  </si>
  <si>
    <t>98.</t>
  </si>
  <si>
    <t>VII.Függő, átfutó kiadások</t>
  </si>
  <si>
    <t>99.</t>
  </si>
  <si>
    <t>Finanszírozási célú műveletek kiadása V+VI+VII</t>
  </si>
  <si>
    <t>100.</t>
  </si>
  <si>
    <t>101.</t>
  </si>
  <si>
    <t>102.</t>
  </si>
  <si>
    <t>103.</t>
  </si>
  <si>
    <t xml:space="preserve">G </t>
  </si>
  <si>
    <t>H</t>
  </si>
  <si>
    <t>I</t>
  </si>
  <si>
    <t>J</t>
  </si>
  <si>
    <t>K</t>
  </si>
  <si>
    <t>L</t>
  </si>
  <si>
    <t>Bevétel megnevezése</t>
  </si>
  <si>
    <t>2013. évi   terv</t>
  </si>
  <si>
    <t>Telj.     %</t>
  </si>
  <si>
    <t>Kiadás megnevezése</t>
  </si>
  <si>
    <t>Intézményi működési bevételek</t>
  </si>
  <si>
    <t>Személyi juttatások</t>
  </si>
  <si>
    <t>Önkorm. sajátos működési bevételei</t>
  </si>
  <si>
    <t>Munkaadókat terhelő járulék</t>
  </si>
  <si>
    <t>Támogatások, kiegészítések</t>
  </si>
  <si>
    <t>Dologi és egyéb folyó kiadások</t>
  </si>
  <si>
    <t>Támogatásértékű bevételek</t>
  </si>
  <si>
    <t xml:space="preserve">    Normatív visszafizetés</t>
  </si>
  <si>
    <t>Működési célú pénzeszköz átvétel</t>
  </si>
  <si>
    <t>Működési célú kamatkiadások</t>
  </si>
  <si>
    <t>Működési célú kölcsön visszatérül.</t>
  </si>
  <si>
    <t>Ellátottak pénzbeli juttatása</t>
  </si>
  <si>
    <t>Támogatásért.kiadás,pénzeszköz átad</t>
  </si>
  <si>
    <t>Társadalom- és szociálpolitikai juttatás</t>
  </si>
  <si>
    <t>Garancia- és kezességváll. kiadása</t>
  </si>
  <si>
    <t>Működési célú kölcsön nyújtása</t>
  </si>
  <si>
    <t>Pénzmaradvány átadás</t>
  </si>
  <si>
    <t>Tartalékok</t>
  </si>
  <si>
    <t>Költségvetési bevételek összesen</t>
  </si>
  <si>
    <t>Költségvetési kiadások összesen</t>
  </si>
  <si>
    <t>Előző évi működési célú pénzmaradvány igénybevétele</t>
  </si>
  <si>
    <t>Rövid lejáratú hitelek törlesztése</t>
  </si>
  <si>
    <t>Előző é. vállalk.eredmény</t>
  </si>
  <si>
    <t>Likvid hitelek törlesztése</t>
  </si>
  <si>
    <t>Rövid lejáratú hitelek felvétel</t>
  </si>
  <si>
    <t>Hosszú lejáratú hitelek törlesztése</t>
  </si>
  <si>
    <t>Likvid hitelek felvétele</t>
  </si>
  <si>
    <t>Kötvény törlesztés</t>
  </si>
  <si>
    <t>Hosszú lejáratú hitelek felvétele</t>
  </si>
  <si>
    <t>Forgatási célú értékpapír beváltása</t>
  </si>
  <si>
    <t>Forgatási célú értékpapírok kibocsát.</t>
  </si>
  <si>
    <t>Forgatási célú értékpapírok vásárlása</t>
  </si>
  <si>
    <t>Forgatási célú értékpapírok értékesít.</t>
  </si>
  <si>
    <t>Befektetési célú értékpapír beváltása</t>
  </si>
  <si>
    <t>Befektetési célú értékpapír kibocsát.</t>
  </si>
  <si>
    <t>Befektetési célú értékpapírok vásárl.</t>
  </si>
  <si>
    <t>Befektetési célú értékpapírok ért.</t>
  </si>
  <si>
    <t>Függő, átfutó, kiegyenlítő kiadások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</si>
  <si>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</si>
  <si>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</si>
  <si>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</si>
  <si>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</si>
  <si>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</si>
  <si>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</si>
  <si>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</si>
  <si>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G</t>
  </si>
  <si>
    <t>2009. évi tény</t>
  </si>
  <si>
    <t>Tárgyi eszközök, immat. javak értékesít.</t>
  </si>
  <si>
    <t>Intézményi beruházás</t>
  </si>
  <si>
    <t>Önkorm. sajátos felhalmozási bevételei</t>
  </si>
  <si>
    <t>Felújítás</t>
  </si>
  <si>
    <t>Pénzügyi befektetésekből szárm.bevétel</t>
  </si>
  <si>
    <t>Támogatásértékű felhalmozási kiadás</t>
  </si>
  <si>
    <t>Felhalmozási célú kamatbevételek</t>
  </si>
  <si>
    <t>Felhalmozási célú pénzeszközátadás</t>
  </si>
  <si>
    <t>Cél-, címzett és egyéb központi támogatás</t>
  </si>
  <si>
    <t>Pénzügyi befektetések kiadásai</t>
  </si>
  <si>
    <t>Fejlesztési és vis maior támogatás</t>
  </si>
  <si>
    <t>Központosított előirányzat,AJTP normatíva</t>
  </si>
  <si>
    <t>Kölcsönök nyújtása</t>
  </si>
  <si>
    <t>Felhalmozási ktgvetési támogatás</t>
  </si>
  <si>
    <t>Állami támogatásokból felhalm. tám.</t>
  </si>
  <si>
    <t>Felhalmozási célú pénzmaradv.átad</t>
  </si>
  <si>
    <t>Átvett pénzeszköz államháztart. kívülről</t>
  </si>
  <si>
    <t>Felhalmozási célú kamatkiadások</t>
  </si>
  <si>
    <t>Kölcsönök visszatérülése</t>
  </si>
  <si>
    <t>Egyéb kiadások</t>
  </si>
  <si>
    <t>Fejlesztések visszaigényelhető áfája</t>
  </si>
  <si>
    <t>Költségvetési bevételek összesen:</t>
  </si>
  <si>
    <t>Költségvetési kiadások összesen:</t>
  </si>
  <si>
    <t>Előző évi felh. célú pénzm. igénybev.</t>
  </si>
  <si>
    <t>Rövid lejáratú hitelek felvétele</t>
  </si>
  <si>
    <t>Forgatási célú értékpapír kibocsátása</t>
  </si>
  <si>
    <t>Forgatási célú értékpapírok értékesítése</t>
  </si>
  <si>
    <t>Befektetési célú értékpapír kibocsátása</t>
  </si>
  <si>
    <t>Befektetési célú értékpapírok értékesít.</t>
  </si>
  <si>
    <t>B  e  v  é  t  e  l  e  k</t>
  </si>
  <si>
    <t>K  i  a  d  á  s  o  k</t>
  </si>
  <si>
    <t>Kiadásból személyi juttatás</t>
  </si>
  <si>
    <t>Intézmény neve</t>
  </si>
  <si>
    <t>Eredeti előirányzat</t>
  </si>
  <si>
    <t>Összesen</t>
  </si>
  <si>
    <t>Mindösszesen</t>
  </si>
  <si>
    <t>adatok ezer forintban</t>
  </si>
  <si>
    <t>Intézményi működési bevétel</t>
  </si>
  <si>
    <t>Támogatás  értékű és átvett pénzeszköz</t>
  </si>
  <si>
    <t>Felhalmo-  zási bevétel</t>
  </si>
  <si>
    <t>Költség-  vetési támogatás</t>
  </si>
  <si>
    <t>Kölcsönök vissza-   térülése</t>
  </si>
  <si>
    <t>Pénz-   maradvány</t>
  </si>
  <si>
    <t>Hitel bevétel</t>
  </si>
  <si>
    <t>Függő, átfutó bevétel</t>
  </si>
  <si>
    <t>Személyi  juttatások</t>
  </si>
  <si>
    <t>Járulékok</t>
  </si>
  <si>
    <t>Dologi és egyéb folyó kiadás</t>
  </si>
  <si>
    <t>Támogatás értékű és átadott pénzeszköz</t>
  </si>
  <si>
    <t>Felhalmo-   zási   kiadások</t>
  </si>
  <si>
    <t>Költség- vetési szervnek folyósított támogatás</t>
  </si>
  <si>
    <t>Hitel visszafi-zetés</t>
  </si>
  <si>
    <t>Függő, átfutó kiadás</t>
  </si>
  <si>
    <t>Tevékenység</t>
  </si>
  <si>
    <t>Szakf. száma</t>
  </si>
  <si>
    <t>Hiv.</t>
  </si>
  <si>
    <t>Önk.</t>
  </si>
  <si>
    <t>Össz.</t>
  </si>
  <si>
    <t>Igazgatási tev.</t>
  </si>
  <si>
    <t>841-126</t>
  </si>
  <si>
    <t>Jogalkotás</t>
  </si>
  <si>
    <t>841-112</t>
  </si>
  <si>
    <t>Városgazdálkodás</t>
  </si>
  <si>
    <t>Ingatlankez.</t>
  </si>
  <si>
    <t xml:space="preserve">680-001      </t>
  </si>
  <si>
    <t>680-002</t>
  </si>
  <si>
    <t>Egyéb közfogl.</t>
  </si>
  <si>
    <t>Fogl. Hely. Tám.</t>
  </si>
  <si>
    <t>890-442</t>
  </si>
  <si>
    <t>Rövid táv. Közfogl.</t>
  </si>
  <si>
    <t>890-441</t>
  </si>
  <si>
    <t>Sport  támogatás</t>
  </si>
  <si>
    <t>931-201</t>
  </si>
  <si>
    <t>Nemzetközi. kapcs.</t>
  </si>
  <si>
    <t>842-155</t>
  </si>
  <si>
    <t>N. ünnepek prog.</t>
  </si>
  <si>
    <t>841-191</t>
  </si>
  <si>
    <t>Kiemelt rendezvény</t>
  </si>
  <si>
    <t>841-192</t>
  </si>
  <si>
    <t>Közműv. tev. tám.</t>
  </si>
  <si>
    <t>910-501</t>
  </si>
  <si>
    <t>Civil szerv. tám.</t>
  </si>
  <si>
    <t>890-301</t>
  </si>
  <si>
    <t>Tehetségg. prog.</t>
  </si>
  <si>
    <t>890-115</t>
  </si>
  <si>
    <t>562-913</t>
  </si>
  <si>
    <t>562-912</t>
  </si>
  <si>
    <t>További szakf.</t>
  </si>
  <si>
    <t>Szociális ellát.</t>
  </si>
  <si>
    <t>Támogatott szervezet neve</t>
  </si>
  <si>
    <t>Támogatás célja</t>
  </si>
  <si>
    <t>Civil szervezetek támogatása</t>
  </si>
  <si>
    <t>közösségi tevékenység</t>
  </si>
  <si>
    <t>Sportegyesületek támogatása</t>
  </si>
  <si>
    <t>sporttevékenység</t>
  </si>
  <si>
    <t>Polgárőrség támogatása</t>
  </si>
  <si>
    <t>közbiztonság</t>
  </si>
  <si>
    <t>ISZC KHT támogatása</t>
  </si>
  <si>
    <t xml:space="preserve">sport és önk. vagyonon végzett felújítás </t>
  </si>
  <si>
    <t>Rendőrség támogatása</t>
  </si>
  <si>
    <t>Intézményműködtető Kft. támogatása</t>
  </si>
  <si>
    <t>közokt. int. működtetés, közétkeztetés</t>
  </si>
  <si>
    <t>Ugat-lak Alapítvány támogatása</t>
  </si>
  <si>
    <t>állategészségügy</t>
  </si>
  <si>
    <t>Közművelődési tevékenységek támogatása</t>
  </si>
  <si>
    <t>oktatás, kultúra, kiadványok</t>
  </si>
  <si>
    <t>Házi orvosok támogatása</t>
  </si>
  <si>
    <t>eü. alapellátási tevékenység</t>
  </si>
  <si>
    <t>1. Az önkormányzathoz tartozó intézmények felhalmozási bevételei</t>
  </si>
  <si>
    <t>Bevételek</t>
  </si>
  <si>
    <t>Ingatlan értékesítés</t>
  </si>
  <si>
    <t>Szennyvízcsatorna hálózat II. ütem 95 %-os tám. pályázat</t>
  </si>
  <si>
    <t>Időskorúak, fogyatékkal élők nappali ell. ÉAOP.4.1.3. pályázat</t>
  </si>
  <si>
    <t>Kerékpárral Kisvárda és Ajak között támogatás</t>
  </si>
  <si>
    <t>Kerékpárral Kisvárda és Ajak között kötvény felhasználás</t>
  </si>
  <si>
    <t>Városközpont funkcióbővítő fejlesztése ÉAOP-5.1.1/D támogatás</t>
  </si>
  <si>
    <t>Városközpont funkcióbővítő fejlesztéséhez kötvény felhasználás</t>
  </si>
  <si>
    <t>VárosKözp. pályázat-Konf. Közp. kötvény felhasználás (ISZC tagi kölcsön)</t>
  </si>
  <si>
    <t>Tompos úti tagóvoda ÉAOP-4.1.1/A támogatás</t>
  </si>
  <si>
    <t>Várszínház és Művészetek Háza felhalmozási célú támogatása</t>
  </si>
  <si>
    <t>Számítástechn.eszközbeszerzés(okt. intézm.)TIOP-1.1.1-07/1 támogatás</t>
  </si>
  <si>
    <t>Bölcsőde rekonstrukció ÉÁOP.4.1.3. pályázat</t>
  </si>
  <si>
    <t>Bölcsőde rekonstrukció kötvény felhasználás</t>
  </si>
  <si>
    <t>Öveges Program keretében Bessenyei Gy. G. Dr. Béres József Laboratórium korszerűsítése, működtetetése</t>
  </si>
  <si>
    <t>Kisvárdai óvodák fejlesztésének támogatása</t>
  </si>
  <si>
    <t>Térfigyelő kamerarendszer kialakít., kamerák beszerz. pénzmaradványból</t>
  </si>
  <si>
    <t>Köztéri műalkotás létrehozásának támogatása</t>
  </si>
  <si>
    <t>Komplex telep program (képzés+Tordai u. 20. sz. alatti fejlesztés+közösségi ház kialakítás pály. támogatás</t>
  </si>
  <si>
    <t>Bűnmegelőzési projekt (rendezvények+oktatás+kisért. tárgyi eszk.besz.)</t>
  </si>
  <si>
    <t>Rugalmas munkahelyek projekt (képzés+szakmai szolg.díja)</t>
  </si>
  <si>
    <t>Modellkísérlet a szoc. Alapszolg.feladatok funkcionális összekapcsolására (szakmai megvalósítók díja+kis értékű tárgyi eszk.besz)</t>
  </si>
  <si>
    <t>Darusziget u.csapadékvízelvezető csatorna építés körny.véd.alap(pénzmar.)</t>
  </si>
  <si>
    <t>Egészségügyi Alapellátás épület felújítás, akadálymentesítés támogatása</t>
  </si>
  <si>
    <t xml:space="preserve">Rétközi Múzeum TÁMOP 3.2.8.B-12/1 eszközbeszerzés támogatása </t>
  </si>
  <si>
    <t>Rétközi Múzeum TIOP-1.2.2-11/1. épület felújítás támogatása</t>
  </si>
  <si>
    <t>Önkormányzati vagyon, egyéb helyiségek bérbeadásának bevétele</t>
  </si>
  <si>
    <t>Települési folyékony hulladék elhelyezési díj</t>
  </si>
  <si>
    <t>Önkormányzat pénzmaradvány (kötvény, elkülönített számla)</t>
  </si>
  <si>
    <t>2. Az önkormányzathoz tartozó intézmények felhalmozási kiadásai</t>
  </si>
  <si>
    <t>Kiadások</t>
  </si>
  <si>
    <t>Beruházási felhalmozási kiadások :</t>
  </si>
  <si>
    <t>Szennyvízcsatorna hálózat II. pótl. terv, vagyonértékelés</t>
  </si>
  <si>
    <t>Számítástechnikai eszközök beszerzése oktatási intézmények részére</t>
  </si>
  <si>
    <t>Kerékpár pályázat Kerékpárral Kisvárda és Ajak között</t>
  </si>
  <si>
    <t>Bölcsőde rekonstrukció</t>
  </si>
  <si>
    <t>Kisvárdai óvodák fejlesztése</t>
  </si>
  <si>
    <t>Térfigyelő kamerarendszer kialakítása, kamerák beszerzése</t>
  </si>
  <si>
    <t>Köztéri műalkotás létrehozása</t>
  </si>
  <si>
    <t>Komplex telep program (képzés+Tordai u. 20. sz. alatti fejlesztés+közösségi ház kialakítás</t>
  </si>
  <si>
    <t>Bűnmegelőzési projekt (rendezvények+oktatás+kisértékű tárgyi eszk.besz.)</t>
  </si>
  <si>
    <t>Belterületi csapadékvíz hálózat rekonstrukció tervkészítés</t>
  </si>
  <si>
    <t>Darusziget u.csapadékvízelvezető csatorna építés körny.véd.alap terhére</t>
  </si>
  <si>
    <t>Városi Könyvtár számtech. eszköz beszerzés</t>
  </si>
  <si>
    <t>Várszínház és Művészetek Háza eszközbeszerzés</t>
  </si>
  <si>
    <t>Rétközi Múzeum TÁMOP eszközbeszerzés</t>
  </si>
  <si>
    <t>Köztemető bővítéshez ingatlan vásárlás, kisajátítás</t>
  </si>
  <si>
    <t>Kisbusz vásárlás</t>
  </si>
  <si>
    <t>Csőtisztító készülék vásárlás</t>
  </si>
  <si>
    <t>Ügyviteli számítástechnikai eszközök vásárlása (Bessenyei Arany J.)</t>
  </si>
  <si>
    <t>Kazánprogram (START munka)</t>
  </si>
  <si>
    <t>Start munkhoz pótkocsi, öntözőtartály</t>
  </si>
  <si>
    <t>Mezőgazdasági projecthez eszköz vásárlás</t>
  </si>
  <si>
    <t>Nappali ellátás eszközbeszerés</t>
  </si>
  <si>
    <t>Felújítási felhalmozási kiadások :</t>
  </si>
  <si>
    <t xml:space="preserve">Időskorúak és fogyatékkal élők nappali ellátása </t>
  </si>
  <si>
    <t>Városközpont funkcióbővítő fejlesztése</t>
  </si>
  <si>
    <t>Tompos úti Tagóvoda felújítása</t>
  </si>
  <si>
    <t>Várszínház és Művészetek Háza felújítási költségei</t>
  </si>
  <si>
    <t>Egészségügyi Alapellátás épületének felújítása, akadálymentesítése</t>
  </si>
  <si>
    <t>Rétközi Múzeum TIOP épület felújítás</t>
  </si>
  <si>
    <t>Ingatlankezelés szakfeladat épületfelújítás (Tordai út 20. áthúzódó)</t>
  </si>
  <si>
    <t>Utak, járdák felújítása</t>
  </si>
  <si>
    <t>Egyéb felhalmozási kiadások :</t>
  </si>
  <si>
    <t>NYÍRSÉGVÍZ részvényvásárlás</t>
  </si>
  <si>
    <t>Tartalék (kötvényből, elkülönített pénzeszközökből)</t>
  </si>
  <si>
    <r>
      <t xml:space="preserve">         </t>
    </r>
    <r>
      <rPr>
        <sz val="8"/>
        <rFont val="Arial CE"/>
        <family val="2"/>
      </rPr>
      <t>ebből TB alaptól átvett</t>
    </r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</si>
  <si>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</si>
  <si>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2013.09.30. teljesítés</t>
  </si>
  <si>
    <t xml:space="preserve">2013.09.30. teljesítés </t>
  </si>
  <si>
    <t>2013.09.30 tény</t>
  </si>
  <si>
    <t>Kékcse Kirendeltség</t>
  </si>
  <si>
    <t>Közös Önkormányzati Hivatal</t>
  </si>
  <si>
    <t xml:space="preserve">       5/B.</t>
  </si>
  <si>
    <t xml:space="preserve">       5/A.</t>
  </si>
  <si>
    <t>Kisvárda Polgármesteri Hivatal</t>
  </si>
  <si>
    <t xml:space="preserve">      1.</t>
  </si>
  <si>
    <t xml:space="preserve">      2.</t>
  </si>
  <si>
    <t xml:space="preserve">      3.</t>
  </si>
  <si>
    <t xml:space="preserve">      4.</t>
  </si>
  <si>
    <t xml:space="preserve">      5.</t>
  </si>
  <si>
    <t xml:space="preserve">         5/A/1</t>
  </si>
  <si>
    <t xml:space="preserve">         5/A/2</t>
  </si>
  <si>
    <t xml:space="preserve">         5/A/3</t>
  </si>
  <si>
    <t>2013. 08.01-től</t>
  </si>
  <si>
    <t>2013. 09.01-től</t>
  </si>
  <si>
    <t xml:space="preserve">       Központosított felhalmozási</t>
  </si>
  <si>
    <t>104.</t>
  </si>
  <si>
    <t xml:space="preserve">Kisvárda Polgármesteri Hivatal </t>
  </si>
  <si>
    <t>Zemplén TV támogatása</t>
  </si>
  <si>
    <t>működés támogatása</t>
  </si>
  <si>
    <t>Városi Könyvtár tám.ért.felhalm. bevétel</t>
  </si>
  <si>
    <t>Városi Könyvtár érdekeltségnövelő központi támogatása</t>
  </si>
  <si>
    <t>Start munka felhalmozási célú támogatásérékű bevétel</t>
  </si>
  <si>
    <t>Északi Kertváros szoc.jellegű városrehab ÉÁOP-5.1.1/A</t>
  </si>
  <si>
    <t>Kult Ház és egyéb Köz Helyek funkció bővítő városfejl. ÉÁOP-5.1.1/D</t>
  </si>
  <si>
    <t>Műfüves Labdarugó Sportpálya (saját erő)</t>
  </si>
  <si>
    <t>Parkfenntartási feladatok ellátása (fűnyírótraktor,fűkasza)</t>
  </si>
  <si>
    <t>Startmunkához saját erő (kisteherautó vásárlás)</t>
  </si>
  <si>
    <t>Tagi kölcsön nyújtása ISZC Kft.</t>
  </si>
  <si>
    <t>ISZC Kft. támogatása (Várfürdő felújítása)</t>
  </si>
  <si>
    <t>2013.évi módosított</t>
  </si>
  <si>
    <t>Adósságkonszolidáció (fejl.hitel törlesztésre)</t>
  </si>
  <si>
    <t>Vis Maior</t>
  </si>
  <si>
    <t>Szennyvíz LTP visszafizetés lakosságnak</t>
  </si>
  <si>
    <t>0220/2 hrsz. Tanya vételár (menhely)</t>
  </si>
  <si>
    <t>Szociális szolgálat felújítása</t>
  </si>
  <si>
    <t>Kv.</t>
  </si>
  <si>
    <t>Kékcse</t>
  </si>
  <si>
    <t xml:space="preserve">     -víztermelés</t>
  </si>
  <si>
    <t xml:space="preserve">     -közutak,hidak</t>
  </si>
  <si>
    <t xml:space="preserve">     -folyóirat</t>
  </si>
  <si>
    <t xml:space="preserve">     -takarítás</t>
  </si>
  <si>
    <t xml:space="preserve">     -közvilágítás</t>
  </si>
  <si>
    <t xml:space="preserve">     -foglalkozás eü.</t>
  </si>
  <si>
    <t xml:space="preserve">     -köztemető</t>
  </si>
  <si>
    <t>Támogatás és átadott pénzeszköz, ellátottak pénzbeli juttatása</t>
  </si>
  <si>
    <t xml:space="preserve">     -állat eü. tev.</t>
  </si>
  <si>
    <t xml:space="preserve">     - települési hull.</t>
  </si>
  <si>
    <t xml:space="preserve">     -erdőgazd.</t>
  </si>
  <si>
    <t xml:space="preserve">     -zöldterület kez.</t>
  </si>
  <si>
    <t>Óvodai int. étkeztet.</t>
  </si>
  <si>
    <t>Iskolai int. étkezet.</t>
  </si>
  <si>
    <t>Bevételek összesen 39+40+55</t>
  </si>
  <si>
    <t>Kiadások összesen 90+100</t>
  </si>
  <si>
    <t>KÖLTSÉGVETÉSI HIÁNY, TÖBBLET 39-90</t>
  </si>
  <si>
    <t>FINANSZÍROZÁSI CÉLÚ MŰVELETEK EGYENLEGE 55-100</t>
  </si>
  <si>
    <t>ÁFA visszatérülés</t>
  </si>
  <si>
    <t>Felhalmozási célú hitel törlesztése</t>
  </si>
  <si>
    <t>BEVÉTELEK ÖSSZESEN (14+15+25)</t>
  </si>
  <si>
    <t>KIADÁSOK ÖSSZESEN (14+25)</t>
  </si>
  <si>
    <t>Finanszírozási célú bevétel (16+…+24)</t>
  </si>
  <si>
    <t>Finanszírozási célú kiadás (15+...+24)</t>
  </si>
  <si>
    <t>Szennyvíz érdekeltségi hj., Viziközmű Társulás pénzeszköz átvétel</t>
  </si>
  <si>
    <t xml:space="preserve"> Az államháztartáson kívülre nyújtott támogatások teljesítésének részletezése 2013. III. negyedévben</t>
  </si>
  <si>
    <t>2013. III. negyedévi címrend szerinti állományi létszámadatok</t>
  </si>
  <si>
    <t>Címrend</t>
  </si>
  <si>
    <t xml:space="preserve">Közművelődési érdekeltségi hozzájárulás </t>
  </si>
  <si>
    <t xml:space="preserve">      Közös Önkormányzati Hivatal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</si>
</sst>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"/>
    <numFmt numFmtId="178" formatCode="_-* #,##0.0\ _F_t_-;\-* #,##0.0\ _F_t_-;_-* &quot;-&quot;??\ _F_t_-;_-@_-"/>
    <numFmt numFmtId="179" formatCode="_-* #,##0\ _F_t_-;\-* #,##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"/>
    <numFmt numFmtId="184" formatCode="&quot;H-&quot;0000"/>
    <numFmt numFmtId="185" formatCode="0.0000000"/>
    <numFmt numFmtId="186" formatCode="#,##0\ &quot;Ft&quot;"/>
    <numFmt numFmtId="187" formatCode="0.0%"/>
    <numFmt numFmtId="188" formatCode="m\.\ d\."/>
    <numFmt numFmtId="189" formatCode="mmm/yyyy"/>
    <numFmt numFmtId="190" formatCode="#,##0_ ;\-#,##0\ "/>
    <numFmt numFmtId="191" formatCode="#,###"/>
    <numFmt numFmtId="192" formatCode="_-* #,##0.00\ _F_t_-;\-* #,##0.00\ _F_t_-;_-* \-??\ _F_t_-;_-@_-"/>
    <numFmt numFmtId="193" formatCode="yyyy\-mm\-dd"/>
    <numFmt numFmtId="194" formatCode="#"/>
    <numFmt numFmtId="195" formatCode="#,##0.000"/>
    <numFmt numFmtId="196" formatCode="#,##0.0000"/>
    <numFmt numFmtId="197" formatCode="00"/>
    <numFmt numFmtId="198" formatCode="[$€-2]\ #\ ##,000_);[Red]\([$€-2]\ #\ ##,000\)"/>
    <numFmt numFmtId="199" formatCode="[$-40E]yyyy\.\ mmmm\ d\."/>
    <numFmt numFmtId="200" formatCode="yyyy\-mm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2"/>
      <name val="Times New Roman CE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i/>
      <sz val="10"/>
      <name val="Arial CE"/>
      <family val="0"/>
    </font>
    <font>
      <b/>
      <i/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9"/>
      <name val="Times New Roman"/>
      <family val="1"/>
    </font>
    <font>
      <i/>
      <sz val="11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0" fillId="0" borderId="0" xfId="60" applyFont="1">
      <alignment/>
      <protection/>
    </xf>
    <xf numFmtId="0" fontId="24" fillId="0" borderId="0" xfId="60" applyFont="1" applyBorder="1" applyAlignment="1">
      <alignment horizontal="centerContinuous"/>
      <protection/>
    </xf>
    <xf numFmtId="0" fontId="23" fillId="0" borderId="0" xfId="60" applyFont="1" applyBorder="1" applyAlignment="1">
      <alignment horizontal="centerContinuous"/>
      <protection/>
    </xf>
    <xf numFmtId="0" fontId="0" fillId="0" borderId="0" xfId="60" applyFont="1" applyBorder="1">
      <alignment/>
      <protection/>
    </xf>
    <xf numFmtId="0" fontId="25" fillId="0" borderId="0" xfId="60" applyFont="1" applyBorder="1">
      <alignment/>
      <protection/>
    </xf>
    <xf numFmtId="0" fontId="25" fillId="0" borderId="0" xfId="60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60" applyBorder="1">
      <alignment/>
      <protection/>
    </xf>
    <xf numFmtId="0" fontId="26" fillId="0" borderId="0" xfId="60" applyFont="1" applyBorder="1">
      <alignment/>
      <protection/>
    </xf>
    <xf numFmtId="0" fontId="27" fillId="0" borderId="10" xfId="61" applyFont="1" applyBorder="1">
      <alignment/>
      <protection/>
    </xf>
    <xf numFmtId="0" fontId="27" fillId="0" borderId="11" xfId="61" applyFont="1" applyBorder="1">
      <alignment/>
      <protection/>
    </xf>
    <xf numFmtId="0" fontId="27" fillId="0" borderId="12" xfId="61" applyFont="1" applyBorder="1">
      <alignment/>
      <protection/>
    </xf>
    <xf numFmtId="0" fontId="23" fillId="0" borderId="0" xfId="61" applyFont="1" applyAlignment="1">
      <alignment horizontal="centerContinuous" wrapText="1"/>
      <protection/>
    </xf>
    <xf numFmtId="0" fontId="24" fillId="0" borderId="0" xfId="61" applyFont="1" applyAlignment="1">
      <alignment horizontal="centerContinuous"/>
      <protection/>
    </xf>
    <xf numFmtId="0" fontId="26" fillId="0" borderId="0" xfId="61" applyFont="1">
      <alignment/>
      <protection/>
    </xf>
    <xf numFmtId="0" fontId="25" fillId="0" borderId="0" xfId="61" applyFont="1">
      <alignment/>
      <protection/>
    </xf>
    <xf numFmtId="0" fontId="28" fillId="0" borderId="0" xfId="0" applyFont="1" applyAlignment="1">
      <alignment horizontal="right"/>
    </xf>
    <xf numFmtId="0" fontId="0" fillId="0" borderId="0" xfId="61">
      <alignment/>
      <protection/>
    </xf>
    <xf numFmtId="0" fontId="27" fillId="6" borderId="13" xfId="61" applyFont="1" applyFill="1" applyBorder="1" applyAlignment="1">
      <alignment horizontal="center" vertical="center" wrapText="1"/>
      <protection/>
    </xf>
    <xf numFmtId="14" fontId="27" fillId="18" borderId="13" xfId="61" applyNumberFormat="1" applyFont="1" applyFill="1" applyBorder="1" applyAlignment="1">
      <alignment horizontal="center" vertical="center" wrapText="1"/>
      <protection/>
    </xf>
    <xf numFmtId="0" fontId="27" fillId="6" borderId="14" xfId="0" applyFont="1" applyFill="1" applyBorder="1" applyAlignment="1">
      <alignment horizontal="center" vertical="center" wrapText="1"/>
    </xf>
    <xf numFmtId="0" fontId="27" fillId="0" borderId="15" xfId="61" applyFont="1" applyBorder="1">
      <alignment/>
      <protection/>
    </xf>
    <xf numFmtId="0" fontId="27" fillId="0" borderId="11" xfId="0" applyFont="1" applyBorder="1" applyAlignment="1">
      <alignment/>
    </xf>
    <xf numFmtId="0" fontId="27" fillId="0" borderId="15" xfId="61" applyFont="1" applyFill="1" applyBorder="1">
      <alignment/>
      <protection/>
    </xf>
    <xf numFmtId="0" fontId="27" fillId="0" borderId="16" xfId="61" applyFont="1" applyBorder="1">
      <alignment/>
      <protection/>
    </xf>
    <xf numFmtId="0" fontId="27" fillId="0" borderId="12" xfId="0" applyFont="1" applyBorder="1" applyAlignment="1">
      <alignment/>
    </xf>
    <xf numFmtId="0" fontId="30" fillId="0" borderId="0" xfId="61" applyFont="1" applyAlignment="1">
      <alignment horizontal="centerContinuous" wrapText="1"/>
      <protection/>
    </xf>
    <xf numFmtId="3" fontId="32" fillId="0" borderId="0" xfId="65" applyNumberFormat="1" applyFont="1" applyAlignment="1">
      <alignment horizontal="center"/>
      <protection/>
    </xf>
    <xf numFmtId="3" fontId="0" fillId="0" borderId="0" xfId="65" applyNumberFormat="1">
      <alignment/>
      <protection/>
    </xf>
    <xf numFmtId="0" fontId="0" fillId="0" borderId="0" xfId="65">
      <alignment/>
      <protection/>
    </xf>
    <xf numFmtId="3" fontId="33" fillId="0" borderId="0" xfId="60" applyNumberFormat="1" applyFont="1" applyAlignment="1">
      <alignment horizontal="center" wrapText="1"/>
      <protection/>
    </xf>
    <xf numFmtId="0" fontId="33" fillId="0" borderId="13" xfId="65" applyFont="1" applyBorder="1" applyAlignment="1">
      <alignment horizontal="center"/>
      <protection/>
    </xf>
    <xf numFmtId="3" fontId="33" fillId="0" borderId="13" xfId="65" applyNumberFormat="1" applyFont="1" applyBorder="1" applyAlignment="1">
      <alignment horizontal="center"/>
      <protection/>
    </xf>
    <xf numFmtId="3" fontId="33" fillId="0" borderId="14" xfId="65" applyNumberFormat="1" applyFont="1" applyBorder="1" applyAlignment="1">
      <alignment horizontal="center"/>
      <protection/>
    </xf>
    <xf numFmtId="0" fontId="35" fillId="6" borderId="17" xfId="65" applyFont="1" applyFill="1" applyBorder="1" applyAlignment="1">
      <alignment horizontal="center" vertical="center" wrapText="1"/>
      <protection/>
    </xf>
    <xf numFmtId="3" fontId="35" fillId="6" borderId="17" xfId="65" applyNumberFormat="1" applyFont="1" applyFill="1" applyBorder="1" applyAlignment="1">
      <alignment horizontal="center" vertical="center" wrapText="1"/>
      <protection/>
    </xf>
    <xf numFmtId="3" fontId="0" fillId="0" borderId="0" xfId="65" applyNumberFormat="1" applyAlignment="1">
      <alignment horizontal="center" vertical="center" wrapText="1"/>
      <protection/>
    </xf>
    <xf numFmtId="0" fontId="0" fillId="0" borderId="0" xfId="65" applyAlignment="1">
      <alignment horizontal="center" vertical="center" wrapText="1"/>
      <protection/>
    </xf>
    <xf numFmtId="3" fontId="34" fillId="0" borderId="18" xfId="65" applyNumberFormat="1" applyFont="1" applyBorder="1">
      <alignment/>
      <protection/>
    </xf>
    <xf numFmtId="3" fontId="34" fillId="0" borderId="10" xfId="65" applyNumberFormat="1" applyFont="1" applyBorder="1" applyAlignment="1">
      <alignment horizontal="center"/>
      <protection/>
    </xf>
    <xf numFmtId="3" fontId="34" fillId="0" borderId="15" xfId="65" applyNumberFormat="1" applyFont="1" applyBorder="1">
      <alignment/>
      <protection/>
    </xf>
    <xf numFmtId="3" fontId="34" fillId="0" borderId="11" xfId="65" applyNumberFormat="1" applyFont="1" applyBorder="1" applyAlignment="1">
      <alignment horizontal="center"/>
      <protection/>
    </xf>
    <xf numFmtId="0" fontId="33" fillId="0" borderId="19" xfId="65" applyFont="1" applyBorder="1">
      <alignment/>
      <protection/>
    </xf>
    <xf numFmtId="3" fontId="32" fillId="0" borderId="15" xfId="65" applyNumberFormat="1" applyFont="1" applyBorder="1">
      <alignment/>
      <protection/>
    </xf>
    <xf numFmtId="3" fontId="32" fillId="0" borderId="11" xfId="65" applyNumberFormat="1" applyFont="1" applyBorder="1" applyAlignment="1">
      <alignment horizontal="center"/>
      <protection/>
    </xf>
    <xf numFmtId="0" fontId="0" fillId="0" borderId="15" xfId="65" applyBorder="1">
      <alignment/>
      <protection/>
    </xf>
    <xf numFmtId="3" fontId="32" fillId="0" borderId="15" xfId="0" applyNumberFormat="1" applyFont="1" applyBorder="1" applyAlignment="1">
      <alignment/>
    </xf>
    <xf numFmtId="3" fontId="30" fillId="0" borderId="0" xfId="65" applyNumberFormat="1" applyFont="1">
      <alignment/>
      <protection/>
    </xf>
    <xf numFmtId="0" fontId="30" fillId="0" borderId="0" xfId="65" applyFont="1">
      <alignment/>
      <protection/>
    </xf>
    <xf numFmtId="3" fontId="34" fillId="0" borderId="16" xfId="65" applyNumberFormat="1" applyFont="1" applyBorder="1">
      <alignment/>
      <protection/>
    </xf>
    <xf numFmtId="3" fontId="34" fillId="0" borderId="12" xfId="65" applyNumberFormat="1" applyFont="1" applyBorder="1" applyAlignment="1">
      <alignment horizontal="center"/>
      <protection/>
    </xf>
    <xf numFmtId="3" fontId="0" fillId="0" borderId="0" xfId="65" applyNumberFormat="1" applyAlignment="1">
      <alignment vertical="center"/>
      <protection/>
    </xf>
    <xf numFmtId="0" fontId="0" fillId="0" borderId="0" xfId="65" applyAlignment="1">
      <alignment vertical="center"/>
      <protection/>
    </xf>
    <xf numFmtId="3" fontId="32" fillId="0" borderId="16" xfId="65" applyNumberFormat="1" applyFont="1" applyBorder="1">
      <alignment/>
      <protection/>
    </xf>
    <xf numFmtId="3" fontId="37" fillId="0" borderId="13" xfId="65" applyNumberFormat="1" applyFont="1" applyBorder="1">
      <alignment/>
      <protection/>
    </xf>
    <xf numFmtId="3" fontId="37" fillId="0" borderId="13" xfId="65" applyNumberFormat="1" applyFont="1" applyFill="1" applyBorder="1">
      <alignment/>
      <protection/>
    </xf>
    <xf numFmtId="3" fontId="34" fillId="0" borderId="14" xfId="65" applyNumberFormat="1" applyFont="1" applyBorder="1" applyAlignment="1">
      <alignment horizontal="center"/>
      <protection/>
    </xf>
    <xf numFmtId="0" fontId="32" fillId="0" borderId="0" xfId="65" applyFont="1">
      <alignment/>
      <protection/>
    </xf>
    <xf numFmtId="3" fontId="32" fillId="0" borderId="0" xfId="65" applyNumberFormat="1" applyFont="1">
      <alignment/>
      <protection/>
    </xf>
    <xf numFmtId="0" fontId="33" fillId="0" borderId="0" xfId="60" applyFont="1" applyAlignment="1">
      <alignment horizontal="center" wrapText="1"/>
      <protection/>
    </xf>
    <xf numFmtId="0" fontId="38" fillId="0" borderId="0" xfId="60" applyFont="1" applyAlignment="1">
      <alignment horizontal="center" wrapText="1"/>
      <protection/>
    </xf>
    <xf numFmtId="3" fontId="38" fillId="0" borderId="0" xfId="60" applyNumberFormat="1" applyFont="1" applyAlignment="1">
      <alignment horizontal="center" wrapText="1"/>
      <protection/>
    </xf>
    <xf numFmtId="0" fontId="35" fillId="6" borderId="13" xfId="65" applyFont="1" applyFill="1" applyBorder="1" applyAlignment="1">
      <alignment horizontal="center" vertical="center" wrapText="1"/>
      <protection/>
    </xf>
    <xf numFmtId="3" fontId="35" fillId="6" borderId="14" xfId="65" applyNumberFormat="1" applyFont="1" applyFill="1" applyBorder="1" applyAlignment="1">
      <alignment horizontal="center" vertical="center" wrapText="1"/>
      <protection/>
    </xf>
    <xf numFmtId="3" fontId="0" fillId="0" borderId="0" xfId="65" applyNumberForma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3" fontId="32" fillId="0" borderId="15" xfId="65" applyNumberFormat="1" applyFont="1" applyBorder="1" applyAlignment="1">
      <alignment horizontal="right" vertical="center"/>
      <protection/>
    </xf>
    <xf numFmtId="3" fontId="0" fillId="0" borderId="0" xfId="65" applyNumberFormat="1" applyBorder="1">
      <alignment/>
      <protection/>
    </xf>
    <xf numFmtId="3" fontId="32" fillId="0" borderId="12" xfId="65" applyNumberFormat="1" applyFont="1" applyBorder="1" applyAlignment="1">
      <alignment horizontal="center"/>
      <protection/>
    </xf>
    <xf numFmtId="3" fontId="37" fillId="0" borderId="13" xfId="65" applyNumberFormat="1" applyFont="1" applyBorder="1" applyAlignment="1">
      <alignment vertical="center"/>
      <protection/>
    </xf>
    <xf numFmtId="3" fontId="34" fillId="0" borderId="14" xfId="65" applyNumberFormat="1" applyFont="1" applyBorder="1" applyAlignment="1">
      <alignment horizontal="center" vertical="center"/>
      <protection/>
    </xf>
    <xf numFmtId="0" fontId="34" fillId="0" borderId="16" xfId="65" applyFont="1" applyBorder="1">
      <alignment/>
      <protection/>
    </xf>
    <xf numFmtId="3" fontId="32" fillId="0" borderId="13" xfId="65" applyNumberFormat="1" applyFont="1" applyBorder="1">
      <alignment/>
      <protection/>
    </xf>
    <xf numFmtId="3" fontId="32" fillId="0" borderId="0" xfId="65" applyNumberFormat="1" applyFont="1" applyBorder="1" applyAlignment="1">
      <alignment horizont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 vertical="center"/>
      <protection/>
    </xf>
    <xf numFmtId="0" fontId="32" fillId="0" borderId="20" xfId="66" applyFont="1" applyBorder="1">
      <alignment/>
      <protection/>
    </xf>
    <xf numFmtId="0" fontId="32" fillId="0" borderId="21" xfId="66" applyFont="1" applyBorder="1" applyAlignment="1">
      <alignment horizontal="center"/>
      <protection/>
    </xf>
    <xf numFmtId="0" fontId="32" fillId="0" borderId="13" xfId="66" applyFont="1" applyBorder="1" applyAlignment="1">
      <alignment horizontal="center"/>
      <protection/>
    </xf>
    <xf numFmtId="0" fontId="32" fillId="0" borderId="14" xfId="66" applyFont="1" applyBorder="1" applyAlignment="1">
      <alignment horizontal="center" vertical="center"/>
      <protection/>
    </xf>
    <xf numFmtId="3" fontId="32" fillId="0" borderId="13" xfId="66" applyNumberFormat="1" applyFont="1" applyBorder="1" applyAlignment="1">
      <alignment horizontal="center" vertical="center"/>
      <protection/>
    </xf>
    <xf numFmtId="0" fontId="32" fillId="0" borderId="22" xfId="66" applyFont="1" applyBorder="1" applyAlignment="1">
      <alignment horizontal="center" vertical="center"/>
      <protection/>
    </xf>
    <xf numFmtId="0" fontId="30" fillId="18" borderId="21" xfId="66" applyFont="1" applyFill="1" applyBorder="1" applyAlignment="1">
      <alignment horizontal="center" vertical="center"/>
      <protection/>
    </xf>
    <xf numFmtId="0" fontId="35" fillId="18" borderId="13" xfId="66" applyFont="1" applyFill="1" applyBorder="1" applyAlignment="1">
      <alignment horizontal="center" vertical="center" wrapText="1"/>
      <protection/>
    </xf>
    <xf numFmtId="0" fontId="35" fillId="18" borderId="14" xfId="66" applyFont="1" applyFill="1" applyBorder="1" applyAlignment="1">
      <alignment horizontal="center" vertical="center" wrapText="1"/>
      <protection/>
    </xf>
    <xf numFmtId="0" fontId="35" fillId="18" borderId="21" xfId="66" applyFont="1" applyFill="1" applyBorder="1" applyAlignment="1">
      <alignment horizontal="center" vertical="center"/>
      <protection/>
    </xf>
    <xf numFmtId="0" fontId="32" fillId="0" borderId="23" xfId="66" applyFont="1" applyBorder="1" applyAlignment="1">
      <alignment horizontal="right"/>
      <protection/>
    </xf>
    <xf numFmtId="191" fontId="33" fillId="0" borderId="24" xfId="58" applyNumberFormat="1" applyFont="1" applyFill="1" applyBorder="1" applyAlignment="1" applyProtection="1">
      <alignment horizontal="left" vertical="center" wrapText="1"/>
      <protection locked="0"/>
    </xf>
    <xf numFmtId="3" fontId="32" fillId="0" borderId="18" xfId="65" applyNumberFormat="1" applyFont="1" applyBorder="1">
      <alignment/>
      <protection/>
    </xf>
    <xf numFmtId="3" fontId="32" fillId="0" borderId="18" xfId="66" applyNumberFormat="1" applyFont="1" applyBorder="1">
      <alignment/>
      <protection/>
    </xf>
    <xf numFmtId="3" fontId="32" fillId="0" borderId="10" xfId="66" applyNumberFormat="1" applyFont="1" applyBorder="1" applyAlignment="1">
      <alignment horizontal="center" vertical="center"/>
      <protection/>
    </xf>
    <xf numFmtId="191" fontId="33" fillId="0" borderId="19" xfId="58" applyNumberFormat="1" applyFont="1" applyFill="1" applyBorder="1" applyAlignment="1" applyProtection="1">
      <alignment horizontal="left" vertical="center" wrapText="1"/>
      <protection locked="0"/>
    </xf>
    <xf numFmtId="3" fontId="32" fillId="0" borderId="15" xfId="66" applyNumberFormat="1" applyFont="1" applyBorder="1">
      <alignment/>
      <protection/>
    </xf>
    <xf numFmtId="3" fontId="32" fillId="0" borderId="11" xfId="66" applyNumberFormat="1" applyFont="1" applyBorder="1" applyAlignment="1">
      <alignment horizontal="center" vertical="center"/>
      <protection/>
    </xf>
    <xf numFmtId="0" fontId="33" fillId="0" borderId="19" xfId="66" applyFont="1" applyBorder="1" applyAlignment="1">
      <alignment horizontal="left"/>
      <protection/>
    </xf>
    <xf numFmtId="191" fontId="33" fillId="0" borderId="25" xfId="58" applyNumberFormat="1" applyFont="1" applyFill="1" applyBorder="1" applyAlignment="1" applyProtection="1">
      <alignment horizontal="left" vertical="center" wrapText="1"/>
      <protection locked="0"/>
    </xf>
    <xf numFmtId="3" fontId="32" fillId="0" borderId="16" xfId="66" applyNumberFormat="1" applyFont="1" applyBorder="1">
      <alignment/>
      <protection/>
    </xf>
    <xf numFmtId="3" fontId="32" fillId="0" borderId="12" xfId="66" applyNumberFormat="1" applyFont="1" applyBorder="1" applyAlignment="1">
      <alignment horizontal="center" vertical="center"/>
      <protection/>
    </xf>
    <xf numFmtId="191" fontId="35" fillId="0" borderId="21" xfId="58" applyNumberFormat="1" applyFont="1" applyFill="1" applyBorder="1" applyAlignment="1" applyProtection="1">
      <alignment horizontal="left" vertical="center" wrapText="1"/>
      <protection locked="0"/>
    </xf>
    <xf numFmtId="3" fontId="34" fillId="0" borderId="13" xfId="65" applyNumberFormat="1" applyFont="1" applyBorder="1" applyAlignment="1">
      <alignment vertical="center"/>
      <protection/>
    </xf>
    <xf numFmtId="3" fontId="34" fillId="0" borderId="13" xfId="66" applyNumberFormat="1" applyFont="1" applyBorder="1" applyAlignment="1">
      <alignment vertical="center"/>
      <protection/>
    </xf>
    <xf numFmtId="3" fontId="34" fillId="0" borderId="14" xfId="66" applyNumberFormat="1" applyFont="1" applyBorder="1" applyAlignment="1">
      <alignment horizontal="center" vertical="center"/>
      <protection/>
    </xf>
    <xf numFmtId="191" fontId="35" fillId="0" borderId="24" xfId="58" applyNumberFormat="1" applyFont="1" applyFill="1" applyBorder="1" applyAlignment="1" applyProtection="1">
      <alignment horizontal="left" vertical="center" wrapText="1"/>
      <protection locked="0"/>
    </xf>
    <xf numFmtId="3" fontId="34" fillId="0" borderId="18" xfId="66" applyNumberFormat="1" applyFont="1" applyBorder="1">
      <alignment/>
      <protection/>
    </xf>
    <xf numFmtId="3" fontId="32" fillId="0" borderId="10" xfId="66" applyNumberFormat="1" applyFont="1" applyBorder="1" applyAlignment="1">
      <alignment horizontal="center"/>
      <protection/>
    </xf>
    <xf numFmtId="191" fontId="35" fillId="0" borderId="19" xfId="58" applyNumberFormat="1" applyFont="1" applyFill="1" applyBorder="1" applyAlignment="1" applyProtection="1">
      <alignment horizontal="left" vertical="center" wrapText="1"/>
      <protection locked="0"/>
    </xf>
    <xf numFmtId="3" fontId="34" fillId="0" borderId="15" xfId="66" applyNumberFormat="1" applyFont="1" applyBorder="1">
      <alignment/>
      <protection/>
    </xf>
    <xf numFmtId="0" fontId="32" fillId="0" borderId="15" xfId="66" applyFont="1" applyBorder="1">
      <alignment/>
      <protection/>
    </xf>
    <xf numFmtId="0" fontId="32" fillId="0" borderId="15" xfId="65" applyFont="1" applyBorder="1">
      <alignment/>
      <protection/>
    </xf>
    <xf numFmtId="0" fontId="33" fillId="0" borderId="19" xfId="66" applyFont="1" applyBorder="1">
      <alignment/>
      <protection/>
    </xf>
    <xf numFmtId="0" fontId="0" fillId="0" borderId="15" xfId="66" applyBorder="1">
      <alignment/>
      <protection/>
    </xf>
    <xf numFmtId="3" fontId="34" fillId="0" borderId="16" xfId="66" applyNumberFormat="1" applyFont="1" applyBorder="1">
      <alignment/>
      <protection/>
    </xf>
    <xf numFmtId="3" fontId="32" fillId="0" borderId="14" xfId="66" applyNumberFormat="1" applyFont="1" applyBorder="1" applyAlignment="1">
      <alignment horizontal="center" vertical="center"/>
      <protection/>
    </xf>
    <xf numFmtId="191" fontId="35" fillId="18" borderId="21" xfId="58" applyNumberFormat="1" applyFont="1" applyFill="1" applyBorder="1" applyAlignment="1">
      <alignment horizontal="left" vertical="center" wrapText="1"/>
      <protection/>
    </xf>
    <xf numFmtId="3" fontId="34" fillId="6" borderId="13" xfId="65" applyNumberFormat="1" applyFont="1" applyFill="1" applyBorder="1" applyAlignment="1">
      <alignment vertical="center"/>
      <protection/>
    </xf>
    <xf numFmtId="3" fontId="34" fillId="18" borderId="13" xfId="66" applyNumberFormat="1" applyFont="1" applyFill="1" applyBorder="1" applyAlignment="1">
      <alignment vertical="center"/>
      <protection/>
    </xf>
    <xf numFmtId="3" fontId="34" fillId="6" borderId="14" xfId="66" applyNumberFormat="1" applyFont="1" applyFill="1" applyBorder="1" applyAlignment="1">
      <alignment horizontal="center" vertical="center"/>
      <protection/>
    </xf>
    <xf numFmtId="0" fontId="30" fillId="0" borderId="0" xfId="66" applyFont="1">
      <alignment/>
      <protection/>
    </xf>
    <xf numFmtId="0" fontId="32" fillId="0" borderId="26" xfId="66" applyFont="1" applyBorder="1" applyAlignment="1">
      <alignment horizontal="right"/>
      <protection/>
    </xf>
    <xf numFmtId="191" fontId="35" fillId="0" borderId="21" xfId="58" applyNumberFormat="1" applyFont="1" applyFill="1" applyBorder="1" applyAlignment="1">
      <alignment horizontal="left" vertical="center" wrapText="1" indent="1"/>
      <protection/>
    </xf>
    <xf numFmtId="3" fontId="0" fillId="0" borderId="0" xfId="66" applyNumberFormat="1" applyAlignment="1">
      <alignment horizontal="center" vertical="center"/>
      <protection/>
    </xf>
    <xf numFmtId="0" fontId="0" fillId="0" borderId="0" xfId="58">
      <alignment/>
      <protection/>
    </xf>
    <xf numFmtId="0" fontId="0" fillId="0" borderId="20" xfId="58" applyBorder="1">
      <alignment/>
      <protection/>
    </xf>
    <xf numFmtId="0" fontId="32" fillId="0" borderId="14" xfId="66" applyFont="1" applyBorder="1" applyAlignment="1">
      <alignment horizontal="center"/>
      <protection/>
    </xf>
    <xf numFmtId="0" fontId="0" fillId="0" borderId="22" xfId="58" applyBorder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0" fillId="0" borderId="23" xfId="58" applyFont="1" applyBorder="1">
      <alignment/>
      <protection/>
    </xf>
    <xf numFmtId="3" fontId="32" fillId="0" borderId="10" xfId="66" applyNumberFormat="1" applyFont="1" applyBorder="1">
      <alignment/>
      <protection/>
    </xf>
    <xf numFmtId="3" fontId="32" fillId="0" borderId="11" xfId="66" applyNumberFormat="1" applyFont="1" applyBorder="1">
      <alignment/>
      <protection/>
    </xf>
    <xf numFmtId="3" fontId="32" fillId="0" borderId="12" xfId="66" applyNumberFormat="1" applyFont="1" applyBorder="1">
      <alignment/>
      <protection/>
    </xf>
    <xf numFmtId="3" fontId="32" fillId="0" borderId="14" xfId="66" applyNumberFormat="1" applyFont="1" applyBorder="1">
      <alignment/>
      <protection/>
    </xf>
    <xf numFmtId="191" fontId="34" fillId="18" borderId="21" xfId="58" applyNumberFormat="1" applyFont="1" applyFill="1" applyBorder="1" applyAlignment="1">
      <alignment horizontal="left" vertical="center" wrapText="1"/>
      <protection/>
    </xf>
    <xf numFmtId="191" fontId="35" fillId="0" borderId="21" xfId="58" applyNumberFormat="1" applyFont="1" applyFill="1" applyBorder="1" applyAlignment="1">
      <alignment horizontal="left" vertical="center" wrapText="1"/>
      <protection/>
    </xf>
    <xf numFmtId="3" fontId="34" fillId="0" borderId="14" xfId="66" applyNumberFormat="1" applyFont="1" applyBorder="1" applyAlignment="1">
      <alignment vertical="center"/>
      <protection/>
    </xf>
    <xf numFmtId="0" fontId="26" fillId="0" borderId="0" xfId="0" applyFont="1" applyAlignment="1">
      <alignment/>
    </xf>
    <xf numFmtId="1" fontId="39" fillId="0" borderId="0" xfId="0" applyNumberFormat="1" applyFont="1" applyAlignment="1">
      <alignment/>
    </xf>
    <xf numFmtId="0" fontId="26" fillId="0" borderId="0" xfId="67" applyFont="1" applyBorder="1" applyAlignment="1">
      <alignment/>
      <protection/>
    </xf>
    <xf numFmtId="1" fontId="39" fillId="0" borderId="0" xfId="67" applyNumberFormat="1" applyFont="1" applyBorder="1" applyAlignment="1">
      <alignment/>
      <protection/>
    </xf>
    <xf numFmtId="0" fontId="0" fillId="0" borderId="0" xfId="0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1" fontId="42" fillId="16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40" fillId="6" borderId="21" xfId="0" applyNumberFormat="1" applyFont="1" applyFill="1" applyBorder="1" applyAlignment="1">
      <alignment/>
    </xf>
    <xf numFmtId="3" fontId="40" fillId="6" borderId="13" xfId="0" applyNumberFormat="1" applyFont="1" applyFill="1" applyBorder="1" applyAlignment="1">
      <alignment/>
    </xf>
    <xf numFmtId="0" fontId="33" fillId="0" borderId="0" xfId="0" applyFont="1" applyAlignment="1">
      <alignment/>
    </xf>
    <xf numFmtId="3" fontId="25" fillId="0" borderId="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0" fontId="41" fillId="16" borderId="24" xfId="0" applyFont="1" applyFill="1" applyBorder="1" applyAlignment="1">
      <alignment/>
    </xf>
    <xf numFmtId="3" fontId="41" fillId="0" borderId="18" xfId="0" applyNumberFormat="1" applyFont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41" fillId="0" borderId="19" xfId="0" applyFont="1" applyBorder="1" applyAlignment="1">
      <alignment/>
    </xf>
    <xf numFmtId="3" fontId="41" fillId="0" borderId="15" xfId="0" applyNumberFormat="1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3" fontId="41" fillId="0" borderId="19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41" fillId="0" borderId="19" xfId="60" applyFont="1" applyBorder="1">
      <alignment/>
      <protection/>
    </xf>
    <xf numFmtId="0" fontId="41" fillId="0" borderId="25" xfId="60" applyFont="1" applyBorder="1">
      <alignment/>
      <protection/>
    </xf>
    <xf numFmtId="3" fontId="41" fillId="0" borderId="16" xfId="0" applyNumberFormat="1" applyFont="1" applyFill="1" applyBorder="1" applyAlignment="1">
      <alignment/>
    </xf>
    <xf numFmtId="3" fontId="41" fillId="0" borderId="12" xfId="0" applyNumberFormat="1" applyFont="1" applyBorder="1" applyAlignment="1">
      <alignment/>
    </xf>
    <xf numFmtId="0" fontId="43" fillId="6" borderId="21" xfId="0" applyFont="1" applyFill="1" applyBorder="1" applyAlignment="1">
      <alignment/>
    </xf>
    <xf numFmtId="3" fontId="46" fillId="6" borderId="13" xfId="0" applyNumberFormat="1" applyFont="1" applyFill="1" applyBorder="1" applyAlignment="1">
      <alignment/>
    </xf>
    <xf numFmtId="3" fontId="46" fillId="6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3" fontId="41" fillId="0" borderId="16" xfId="0" applyNumberFormat="1" applyFont="1" applyBorder="1" applyAlignment="1">
      <alignment/>
    </xf>
    <xf numFmtId="0" fontId="46" fillId="6" borderId="21" xfId="0" applyFont="1" applyFill="1" applyBorder="1" applyAlignment="1">
      <alignment/>
    </xf>
    <xf numFmtId="0" fontId="40" fillId="6" borderId="21" xfId="0" applyFont="1" applyFill="1" applyBorder="1" applyAlignment="1">
      <alignment/>
    </xf>
    <xf numFmtId="3" fontId="43" fillId="6" borderId="13" xfId="0" applyNumberFormat="1" applyFont="1" applyFill="1" applyBorder="1" applyAlignment="1">
      <alignment/>
    </xf>
    <xf numFmtId="3" fontId="43" fillId="6" borderId="14" xfId="0" applyNumberFormat="1" applyFont="1" applyFill="1" applyBorder="1" applyAlignment="1">
      <alignment/>
    </xf>
    <xf numFmtId="17" fontId="26" fillId="0" borderId="0" xfId="0" applyNumberFormat="1" applyFont="1" applyAlignment="1">
      <alignment/>
    </xf>
    <xf numFmtId="0" fontId="48" fillId="0" borderId="2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4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30" fillId="0" borderId="27" xfId="62" applyFont="1" applyBorder="1" applyAlignment="1">
      <alignment horizontal="center" vertical="center" wrapText="1"/>
      <protection/>
    </xf>
    <xf numFmtId="0" fontId="33" fillId="0" borderId="28" xfId="62" applyFont="1" applyBorder="1">
      <alignment/>
      <protection/>
    </xf>
    <xf numFmtId="3" fontId="49" fillId="0" borderId="29" xfId="62" applyNumberFormat="1" applyFont="1" applyBorder="1" applyAlignment="1">
      <alignment horizontal="right"/>
      <protection/>
    </xf>
    <xf numFmtId="3" fontId="32" fillId="0" borderId="30" xfId="62" applyNumberFormat="1" applyFont="1" applyBorder="1">
      <alignment/>
      <protection/>
    </xf>
    <xf numFmtId="3" fontId="32" fillId="0" borderId="31" xfId="62" applyNumberFormat="1" applyFont="1" applyBorder="1">
      <alignment/>
      <protection/>
    </xf>
    <xf numFmtId="3" fontId="32" fillId="6" borderId="29" xfId="62" applyNumberFormat="1" applyFont="1" applyFill="1" applyBorder="1">
      <alignment/>
      <protection/>
    </xf>
    <xf numFmtId="3" fontId="32" fillId="0" borderId="28" xfId="62" applyNumberFormat="1" applyFont="1" applyBorder="1" applyAlignment="1">
      <alignment horizontal="right"/>
      <protection/>
    </xf>
    <xf numFmtId="3" fontId="32" fillId="0" borderId="31" xfId="62" applyNumberFormat="1" applyFont="1" applyBorder="1" applyAlignment="1">
      <alignment horizontal="right"/>
      <protection/>
    </xf>
    <xf numFmtId="3" fontId="32" fillId="6" borderId="29" xfId="62" applyNumberFormat="1" applyFont="1" applyFill="1" applyBorder="1" applyAlignment="1">
      <alignment horizontal="right"/>
      <protection/>
    </xf>
    <xf numFmtId="3" fontId="32" fillId="0" borderId="28" xfId="62" applyNumberFormat="1" applyFont="1" applyBorder="1">
      <alignment/>
      <protection/>
    </xf>
    <xf numFmtId="3" fontId="32" fillId="6" borderId="32" xfId="62" applyNumberFormat="1" applyFont="1" applyFill="1" applyBorder="1">
      <alignment/>
      <protection/>
    </xf>
    <xf numFmtId="3" fontId="32" fillId="0" borderId="24" xfId="62" applyNumberFormat="1" applyFont="1" applyBorder="1">
      <alignment/>
      <protection/>
    </xf>
    <xf numFmtId="3" fontId="32" fillId="0" borderId="18" xfId="62" applyNumberFormat="1" applyFont="1" applyBorder="1">
      <alignment/>
      <protection/>
    </xf>
    <xf numFmtId="3" fontId="32" fillId="6" borderId="10" xfId="62" applyNumberFormat="1" applyFont="1" applyFill="1" applyBorder="1">
      <alignment/>
      <protection/>
    </xf>
    <xf numFmtId="0" fontId="33" fillId="0" borderId="19" xfId="62" applyFont="1" applyBorder="1">
      <alignment/>
      <protection/>
    </xf>
    <xf numFmtId="3" fontId="49" fillId="0" borderId="11" xfId="62" applyNumberFormat="1" applyFont="1" applyBorder="1" applyAlignment="1">
      <alignment horizontal="right"/>
      <protection/>
    </xf>
    <xf numFmtId="3" fontId="32" fillId="0" borderId="33" xfId="62" applyNumberFormat="1" applyFont="1" applyBorder="1">
      <alignment/>
      <protection/>
    </xf>
    <xf numFmtId="3" fontId="32" fillId="0" borderId="15" xfId="62" applyNumberFormat="1" applyFont="1" applyBorder="1">
      <alignment/>
      <protection/>
    </xf>
    <xf numFmtId="3" fontId="32" fillId="6" borderId="11" xfId="62" applyNumberFormat="1" applyFont="1" applyFill="1" applyBorder="1">
      <alignment/>
      <protection/>
    </xf>
    <xf numFmtId="3" fontId="32" fillId="0" borderId="19" xfId="62" applyNumberFormat="1" applyFont="1" applyBorder="1">
      <alignment/>
      <protection/>
    </xf>
    <xf numFmtId="3" fontId="32" fillId="6" borderId="11" xfId="62" applyNumberFormat="1" applyFont="1" applyFill="1" applyBorder="1" applyAlignment="1">
      <alignment horizontal="right"/>
      <protection/>
    </xf>
    <xf numFmtId="3" fontId="32" fillId="6" borderId="34" xfId="62" applyNumberFormat="1" applyFont="1" applyFill="1" applyBorder="1">
      <alignment/>
      <protection/>
    </xf>
    <xf numFmtId="3" fontId="49" fillId="0" borderId="11" xfId="62" applyNumberFormat="1" applyFont="1" applyBorder="1" applyAlignment="1">
      <alignment horizontal="right" vertical="center" wrapText="1"/>
      <protection/>
    </xf>
    <xf numFmtId="3" fontId="32" fillId="0" borderId="33" xfId="62" applyNumberFormat="1" applyFont="1" applyBorder="1" applyAlignment="1">
      <alignment horizontal="right" vertical="center"/>
      <protection/>
    </xf>
    <xf numFmtId="3" fontId="32" fillId="0" borderId="15" xfId="62" applyNumberFormat="1" applyFont="1" applyBorder="1" applyAlignment="1">
      <alignment horizontal="right" vertical="center"/>
      <protection/>
    </xf>
    <xf numFmtId="3" fontId="32" fillId="0" borderId="19" xfId="62" applyNumberFormat="1" applyFont="1" applyBorder="1" applyAlignment="1">
      <alignment horizontal="right" vertical="center"/>
      <protection/>
    </xf>
    <xf numFmtId="3" fontId="32" fillId="0" borderId="15" xfId="62" applyNumberFormat="1" applyFont="1" applyBorder="1" applyAlignment="1">
      <alignment horizontal="right" wrapText="1"/>
      <protection/>
    </xf>
    <xf numFmtId="3" fontId="49" fillId="0" borderId="11" xfId="62" applyNumberFormat="1" applyFont="1" applyBorder="1" applyAlignment="1">
      <alignment horizontal="right" wrapText="1"/>
      <protection/>
    </xf>
    <xf numFmtId="3" fontId="28" fillId="0" borderId="11" xfId="62" applyNumberFormat="1" applyFont="1" applyBorder="1">
      <alignment/>
      <protection/>
    </xf>
    <xf numFmtId="3" fontId="32" fillId="0" borderId="35" xfId="62" applyNumberFormat="1" applyFont="1" applyBorder="1">
      <alignment/>
      <protection/>
    </xf>
    <xf numFmtId="3" fontId="32" fillId="0" borderId="36" xfId="62" applyNumberFormat="1" applyFont="1" applyBorder="1">
      <alignment/>
      <protection/>
    </xf>
    <xf numFmtId="3" fontId="32" fillId="6" borderId="37" xfId="62" applyNumberFormat="1" applyFont="1" applyFill="1" applyBorder="1">
      <alignment/>
      <protection/>
    </xf>
    <xf numFmtId="3" fontId="32" fillId="0" borderId="38" xfId="62" applyNumberFormat="1" applyFont="1" applyBorder="1">
      <alignment/>
      <protection/>
    </xf>
    <xf numFmtId="3" fontId="32" fillId="6" borderId="37" xfId="62" applyNumberFormat="1" applyFont="1" applyFill="1" applyBorder="1" applyAlignment="1">
      <alignment horizontal="right"/>
      <protection/>
    </xf>
    <xf numFmtId="3" fontId="32" fillId="6" borderId="39" xfId="62" applyNumberFormat="1" applyFont="1" applyFill="1" applyBorder="1">
      <alignment/>
      <protection/>
    </xf>
    <xf numFmtId="3" fontId="32" fillId="0" borderId="25" xfId="62" applyNumberFormat="1" applyFont="1" applyBorder="1">
      <alignment/>
      <protection/>
    </xf>
    <xf numFmtId="3" fontId="32" fillId="0" borderId="16" xfId="62" applyNumberFormat="1" applyFont="1" applyBorder="1">
      <alignment/>
      <protection/>
    </xf>
    <xf numFmtId="3" fontId="32" fillId="6" borderId="12" xfId="62" applyNumberFormat="1" applyFont="1" applyFill="1" applyBorder="1">
      <alignment/>
      <protection/>
    </xf>
    <xf numFmtId="0" fontId="36" fillId="6" borderId="21" xfId="62" applyFont="1" applyFill="1" applyBorder="1">
      <alignment/>
      <protection/>
    </xf>
    <xf numFmtId="3" fontId="50" fillId="6" borderId="14" xfId="62" applyNumberFormat="1" applyFont="1" applyFill="1" applyBorder="1">
      <alignment/>
      <protection/>
    </xf>
    <xf numFmtId="3" fontId="37" fillId="6" borderId="21" xfId="62" applyNumberFormat="1" applyFont="1" applyFill="1" applyBorder="1">
      <alignment/>
      <protection/>
    </xf>
    <xf numFmtId="3" fontId="37" fillId="6" borderId="13" xfId="62" applyNumberFormat="1" applyFont="1" applyFill="1" applyBorder="1">
      <alignment/>
      <protection/>
    </xf>
    <xf numFmtId="3" fontId="37" fillId="6" borderId="14" xfId="62" applyNumberFormat="1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36" fillId="0" borderId="0" xfId="62" applyFont="1" applyFill="1" applyBorder="1">
      <alignment/>
      <protection/>
    </xf>
    <xf numFmtId="3" fontId="50" fillId="0" borderId="0" xfId="62" applyNumberFormat="1" applyFont="1" applyFill="1" applyBorder="1">
      <alignment/>
      <protection/>
    </xf>
    <xf numFmtId="3" fontId="37" fillId="0" borderId="0" xfId="62" applyNumberFormat="1" applyFont="1" applyFill="1" applyBorder="1">
      <alignment/>
      <protection/>
    </xf>
    <xf numFmtId="3" fontId="32" fillId="0" borderId="0" xfId="62" applyNumberFormat="1" applyFont="1" applyFill="1" applyBorder="1">
      <alignment/>
      <protection/>
    </xf>
    <xf numFmtId="3" fontId="32" fillId="0" borderId="0" xfId="6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33" fillId="0" borderId="0" xfId="62" applyFont="1" applyFill="1" applyBorder="1">
      <alignment/>
      <protection/>
    </xf>
    <xf numFmtId="3" fontId="49" fillId="0" borderId="0" xfId="62" applyNumberFormat="1" applyFont="1" applyFill="1" applyBorder="1" applyAlignment="1">
      <alignment horizontal="right"/>
      <protection/>
    </xf>
    <xf numFmtId="0" fontId="35" fillId="0" borderId="0" xfId="62" applyFont="1" applyFill="1" applyBorder="1">
      <alignment/>
      <protection/>
    </xf>
    <xf numFmtId="3" fontId="31" fillId="0" borderId="0" xfId="62" applyNumberFormat="1" applyFont="1" applyFill="1" applyBorder="1">
      <alignment/>
      <protection/>
    </xf>
    <xf numFmtId="3" fontId="34" fillId="0" borderId="0" xfId="62" applyNumberFormat="1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62">
      <alignment/>
      <protection/>
    </xf>
    <xf numFmtId="3" fontId="0" fillId="0" borderId="0" xfId="62" applyNumberFormat="1">
      <alignment/>
      <protection/>
    </xf>
    <xf numFmtId="0" fontId="0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51" fillId="0" borderId="0" xfId="62" applyFont="1">
      <alignment/>
      <protection/>
    </xf>
    <xf numFmtId="0" fontId="26" fillId="0" borderId="0" xfId="62" applyFont="1">
      <alignment/>
      <protection/>
    </xf>
    <xf numFmtId="0" fontId="48" fillId="0" borderId="0" xfId="62" applyFont="1" applyAlignment="1">
      <alignment horizontal="center"/>
      <protection/>
    </xf>
    <xf numFmtId="3" fontId="48" fillId="0" borderId="0" xfId="62" applyNumberFormat="1" applyFont="1" applyAlignment="1">
      <alignment horizontal="center"/>
      <protection/>
    </xf>
    <xf numFmtId="0" fontId="32" fillId="0" borderId="40" xfId="62" applyFont="1" applyBorder="1" applyAlignment="1">
      <alignment horizontal="center"/>
      <protection/>
    </xf>
    <xf numFmtId="0" fontId="32" fillId="0" borderId="21" xfId="62" applyFont="1" applyBorder="1" applyAlignment="1">
      <alignment horizontal="center"/>
      <protection/>
    </xf>
    <xf numFmtId="0" fontId="32" fillId="0" borderId="13" xfId="62" applyFont="1" applyBorder="1" applyAlignment="1">
      <alignment horizontal="center"/>
      <protection/>
    </xf>
    <xf numFmtId="3" fontId="0" fillId="0" borderId="13" xfId="62" applyNumberFormat="1" applyFont="1" applyBorder="1" applyAlignment="1">
      <alignment horizontal="center"/>
      <protection/>
    </xf>
    <xf numFmtId="0" fontId="0" fillId="0" borderId="0" xfId="62" applyAlignment="1">
      <alignment horizontal="center"/>
      <protection/>
    </xf>
    <xf numFmtId="0" fontId="32" fillId="0" borderId="41" xfId="62" applyFont="1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32" fillId="0" borderId="42" xfId="62" applyFont="1" applyBorder="1">
      <alignment/>
      <protection/>
    </xf>
    <xf numFmtId="0" fontId="32" fillId="0" borderId="24" xfId="62" applyFont="1" applyBorder="1" applyAlignment="1">
      <alignment horizontal="left"/>
      <protection/>
    </xf>
    <xf numFmtId="0" fontId="32" fillId="0" borderId="18" xfId="62" applyFont="1" applyBorder="1" applyAlignment="1">
      <alignment horizontal="left"/>
      <protection/>
    </xf>
    <xf numFmtId="3" fontId="32" fillId="0" borderId="18" xfId="62" applyNumberFormat="1" applyFont="1" applyBorder="1">
      <alignment/>
      <protection/>
    </xf>
    <xf numFmtId="0" fontId="32" fillId="0" borderId="43" xfId="62" applyFont="1" applyBorder="1">
      <alignment/>
      <protection/>
    </xf>
    <xf numFmtId="0" fontId="32" fillId="0" borderId="19" xfId="62" applyFont="1" applyBorder="1" applyAlignment="1">
      <alignment horizontal="left"/>
      <protection/>
    </xf>
    <xf numFmtId="0" fontId="32" fillId="0" borderId="15" xfId="62" applyFont="1" applyBorder="1" applyAlignment="1">
      <alignment horizontal="left"/>
      <protection/>
    </xf>
    <xf numFmtId="3" fontId="32" fillId="0" borderId="15" xfId="62" applyNumberFormat="1" applyFont="1" applyBorder="1">
      <alignment/>
      <protection/>
    </xf>
    <xf numFmtId="0" fontId="32" fillId="0" borderId="15" xfId="62" applyFont="1" applyBorder="1" applyAlignment="1">
      <alignment horizontal="left" vertical="center" wrapText="1"/>
      <protection/>
    </xf>
    <xf numFmtId="0" fontId="32" fillId="0" borderId="16" xfId="62" applyFont="1" applyBorder="1" applyAlignment="1">
      <alignment horizontal="left" vertical="center" wrapText="1"/>
      <protection/>
    </xf>
    <xf numFmtId="3" fontId="32" fillId="0" borderId="16" xfId="62" applyNumberFormat="1" applyFont="1" applyBorder="1">
      <alignment/>
      <protection/>
    </xf>
    <xf numFmtId="0" fontId="31" fillId="0" borderId="0" xfId="63" applyFont="1" applyBorder="1" applyAlignment="1">
      <alignment horizontal="center"/>
      <protection/>
    </xf>
    <xf numFmtId="3" fontId="0" fillId="0" borderId="0" xfId="63" applyNumberFormat="1">
      <alignment/>
      <protection/>
    </xf>
    <xf numFmtId="1" fontId="0" fillId="0" borderId="0" xfId="63" applyNumberFormat="1" applyFont="1" applyAlignment="1">
      <alignment horizontal="center"/>
      <protection/>
    </xf>
    <xf numFmtId="0" fontId="0" fillId="0" borderId="0" xfId="63">
      <alignment/>
      <protection/>
    </xf>
    <xf numFmtId="0" fontId="28" fillId="0" borderId="0" xfId="63" applyFont="1" applyBorder="1" applyAlignment="1">
      <alignment horizontal="center"/>
      <protection/>
    </xf>
    <xf numFmtId="1" fontId="0" fillId="0" borderId="0" xfId="63" applyNumberFormat="1" applyFont="1" applyBorder="1" applyAlignment="1">
      <alignment horizontal="center"/>
      <protection/>
    </xf>
    <xf numFmtId="0" fontId="0" fillId="0" borderId="21" xfId="62" applyFont="1" applyBorder="1" applyAlignment="1">
      <alignment horizontal="center" vertical="center"/>
      <protection/>
    </xf>
    <xf numFmtId="3" fontId="0" fillId="0" borderId="13" xfId="62" applyNumberFormat="1" applyFont="1" applyBorder="1" applyAlignment="1">
      <alignment horizontal="center" vertical="center"/>
      <protection/>
    </xf>
    <xf numFmtId="3" fontId="0" fillId="0" borderId="13" xfId="63" applyNumberFormat="1" applyFont="1" applyBorder="1" applyAlignment="1">
      <alignment horizontal="center" vertical="center"/>
      <protection/>
    </xf>
    <xf numFmtId="1" fontId="0" fillId="0" borderId="14" xfId="63" applyNumberFormat="1" applyFont="1" applyBorder="1" applyAlignment="1">
      <alignment horizontal="center"/>
      <protection/>
    </xf>
    <xf numFmtId="0" fontId="0" fillId="0" borderId="24" xfId="62" applyFont="1" applyBorder="1" applyAlignment="1">
      <alignment vertical="center"/>
      <protection/>
    </xf>
    <xf numFmtId="3" fontId="0" fillId="16" borderId="18" xfId="62" applyNumberFormat="1" applyFill="1" applyBorder="1">
      <alignment/>
      <protection/>
    </xf>
    <xf numFmtId="3" fontId="0" fillId="0" borderId="18" xfId="63" applyNumberFormat="1" applyFont="1" applyBorder="1" applyAlignment="1">
      <alignment horizontal="right"/>
      <protection/>
    </xf>
    <xf numFmtId="1" fontId="0" fillId="0" borderId="10" xfId="63" applyNumberFormat="1" applyFont="1" applyBorder="1" applyAlignment="1">
      <alignment horizontal="center"/>
      <protection/>
    </xf>
    <xf numFmtId="0" fontId="0" fillId="0" borderId="19" xfId="62" applyFont="1" applyBorder="1">
      <alignment/>
      <protection/>
    </xf>
    <xf numFmtId="3" fontId="0" fillId="16" borderId="15" xfId="62" applyNumberFormat="1" applyFill="1" applyBorder="1">
      <alignment/>
      <protection/>
    </xf>
    <xf numFmtId="3" fontId="0" fillId="0" borderId="15" xfId="63" applyNumberFormat="1" applyFont="1" applyBorder="1" applyAlignment="1">
      <alignment horizontal="right"/>
      <protection/>
    </xf>
    <xf numFmtId="1" fontId="0" fillId="0" borderId="11" xfId="63" applyNumberFormat="1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19" xfId="62" applyFont="1" applyBorder="1" applyAlignment="1">
      <alignment wrapText="1"/>
      <protection/>
    </xf>
    <xf numFmtId="3" fontId="0" fillId="0" borderId="15" xfId="62" applyNumberFormat="1" applyBorder="1">
      <alignment/>
      <protection/>
    </xf>
    <xf numFmtId="0" fontId="0" fillId="0" borderId="25" xfId="62" applyFont="1" applyBorder="1">
      <alignment/>
      <protection/>
    </xf>
    <xf numFmtId="3" fontId="0" fillId="0" borderId="16" xfId="62" applyNumberFormat="1" applyBorder="1">
      <alignment/>
      <protection/>
    </xf>
    <xf numFmtId="3" fontId="0" fillId="0" borderId="16" xfId="63" applyNumberFormat="1" applyFont="1" applyBorder="1" applyAlignment="1">
      <alignment horizontal="right"/>
      <protection/>
    </xf>
    <xf numFmtId="0" fontId="31" fillId="6" borderId="21" xfId="62" applyFont="1" applyFill="1" applyBorder="1" applyAlignment="1">
      <alignment vertical="center"/>
      <protection/>
    </xf>
    <xf numFmtId="3" fontId="30" fillId="6" borderId="13" xfId="62" applyNumberFormat="1" applyFont="1" applyFill="1" applyBorder="1">
      <alignment/>
      <protection/>
    </xf>
    <xf numFmtId="1" fontId="30" fillId="6" borderId="14" xfId="63" applyNumberFormat="1" applyFont="1" applyFill="1" applyBorder="1" applyAlignment="1">
      <alignment horizontal="center"/>
      <protection/>
    </xf>
    <xf numFmtId="0" fontId="28" fillId="0" borderId="0" xfId="63" applyFont="1" applyBorder="1" applyAlignment="1">
      <alignment horizontal="right"/>
      <protection/>
    </xf>
    <xf numFmtId="3" fontId="28" fillId="0" borderId="0" xfId="63" applyNumberFormat="1" applyFont="1" applyBorder="1" applyAlignment="1">
      <alignment horizontal="right"/>
      <protection/>
    </xf>
    <xf numFmtId="0" fontId="0" fillId="0" borderId="0" xfId="63" applyAlignment="1">
      <alignment horizontal="center" vertical="center"/>
      <protection/>
    </xf>
    <xf numFmtId="0" fontId="0" fillId="0" borderId="0" xfId="63" applyAlignment="1">
      <alignment horizontal="center" vertical="center" wrapText="1"/>
      <protection/>
    </xf>
    <xf numFmtId="0" fontId="50" fillId="7" borderId="24" xfId="62" applyFont="1" applyFill="1" applyBorder="1" applyAlignment="1">
      <alignment horizontal="left" vertical="center" wrapText="1"/>
      <protection/>
    </xf>
    <xf numFmtId="3" fontId="50" fillId="7" borderId="18" xfId="62" applyNumberFormat="1" applyFont="1" applyFill="1" applyBorder="1" applyAlignment="1">
      <alignment horizontal="right" vertical="center"/>
      <protection/>
    </xf>
    <xf numFmtId="1" fontId="30" fillId="7" borderId="10" xfId="63" applyNumberFormat="1" applyFont="1" applyFill="1" applyBorder="1" applyAlignment="1">
      <alignment horizontal="center"/>
      <protection/>
    </xf>
    <xf numFmtId="3" fontId="0" fillId="16" borderId="15" xfId="62" applyNumberFormat="1" applyFont="1" applyFill="1" applyBorder="1" applyAlignment="1">
      <alignment horizontal="right" vertical="center"/>
      <protection/>
    </xf>
    <xf numFmtId="0" fontId="50" fillId="7" borderId="24" xfId="62" applyFont="1" applyFill="1" applyBorder="1">
      <alignment/>
      <protection/>
    </xf>
    <xf numFmtId="3" fontId="50" fillId="7" borderId="18" xfId="62" applyNumberFormat="1" applyFont="1" applyFill="1" applyBorder="1">
      <alignment/>
      <protection/>
    </xf>
    <xf numFmtId="0" fontId="31" fillId="6" borderId="21" xfId="62" applyFont="1" applyFill="1" applyBorder="1" applyAlignment="1">
      <alignment horizontal="left" vertical="center"/>
      <protection/>
    </xf>
    <xf numFmtId="3" fontId="30" fillId="6" borderId="13" xfId="62" applyNumberFormat="1" applyFont="1" applyFill="1" applyBorder="1" applyAlignment="1">
      <alignment horizontal="right" vertical="center"/>
      <protection/>
    </xf>
    <xf numFmtId="0" fontId="0" fillId="0" borderId="0" xfId="63" applyFill="1">
      <alignment/>
      <protection/>
    </xf>
    <xf numFmtId="0" fontId="28" fillId="0" borderId="0" xfId="63" applyFont="1" applyFill="1" applyBorder="1" applyAlignment="1">
      <alignment horizontal="right"/>
      <protection/>
    </xf>
    <xf numFmtId="3" fontId="28" fillId="0" borderId="0" xfId="63" applyNumberFormat="1" applyFont="1" applyFill="1" applyBorder="1" applyAlignment="1">
      <alignment horizontal="right"/>
      <protection/>
    </xf>
    <xf numFmtId="1" fontId="0" fillId="0" borderId="0" xfId="63" applyNumberFormat="1" applyFont="1" applyFill="1" applyBorder="1" applyAlignment="1">
      <alignment horizontal="center"/>
      <protection/>
    </xf>
    <xf numFmtId="0" fontId="0" fillId="0" borderId="0" xfId="63" applyFill="1" applyBorder="1">
      <alignment/>
      <protection/>
    </xf>
    <xf numFmtId="0" fontId="0" fillId="0" borderId="0" xfId="63" applyBorder="1">
      <alignment/>
      <protection/>
    </xf>
    <xf numFmtId="0" fontId="31" fillId="0" borderId="0" xfId="63" applyFont="1" applyFill="1" applyBorder="1" applyAlignment="1">
      <alignment horizontal="center"/>
      <protection/>
    </xf>
    <xf numFmtId="3" fontId="0" fillId="0" borderId="0" xfId="63" applyNumberFormat="1" applyFill="1" applyBorder="1">
      <alignment/>
      <protection/>
    </xf>
    <xf numFmtId="0" fontId="30" fillId="0" borderId="0" xfId="62" applyFont="1" applyFill="1" applyBorder="1" applyAlignment="1">
      <alignment horizontal="center" vertical="center"/>
      <protection/>
    </xf>
    <xf numFmtId="3" fontId="30" fillId="0" borderId="0" xfId="62" applyNumberFormat="1" applyFont="1" applyFill="1" applyBorder="1" applyAlignment="1">
      <alignment horizontal="center" vertical="center" wrapText="1"/>
      <protection/>
    </xf>
    <xf numFmtId="1" fontId="0" fillId="0" borderId="0" xfId="74" applyNumberFormat="1" applyFont="1" applyFill="1" applyBorder="1" applyAlignment="1">
      <alignment horizontal="center" vertical="center" wrapText="1"/>
    </xf>
    <xf numFmtId="0" fontId="0" fillId="0" borderId="0" xfId="62" applyFill="1" applyBorder="1">
      <alignment/>
      <protection/>
    </xf>
    <xf numFmtId="0" fontId="0" fillId="0" borderId="0" xfId="62" applyBorder="1">
      <alignment/>
      <protection/>
    </xf>
    <xf numFmtId="0" fontId="50" fillId="0" borderId="0" xfId="62" applyFont="1" applyFill="1" applyBorder="1" applyAlignment="1">
      <alignment horizontal="left" vertical="center" wrapText="1"/>
      <protection/>
    </xf>
    <xf numFmtId="3" fontId="50" fillId="0" borderId="0" xfId="62" applyNumberFormat="1" applyFont="1" applyFill="1" applyBorder="1" applyAlignment="1">
      <alignment horizontal="right" vertical="center"/>
      <protection/>
    </xf>
    <xf numFmtId="1" fontId="0" fillId="0" borderId="0" xfId="62" applyNumberFormat="1" applyFont="1" applyFill="1" applyBorder="1" applyAlignment="1">
      <alignment horizontal="center" vertical="center"/>
      <protection/>
    </xf>
    <xf numFmtId="3" fontId="0" fillId="0" borderId="0" xfId="62" applyNumberFormat="1" applyFill="1" applyBorder="1">
      <alignment/>
      <protection/>
    </xf>
    <xf numFmtId="0" fontId="0" fillId="0" borderId="0" xfId="62" applyFont="1" applyFill="1" applyBorder="1">
      <alignment/>
      <protection/>
    </xf>
    <xf numFmtId="0" fontId="50" fillId="0" borderId="0" xfId="62" applyFont="1" applyFill="1" applyBorder="1">
      <alignment/>
      <protection/>
    </xf>
    <xf numFmtId="1" fontId="0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 applyBorder="1" applyAlignment="1">
      <alignment horizontal="left" vertical="center"/>
      <protection/>
    </xf>
    <xf numFmtId="3" fontId="30" fillId="0" borderId="0" xfId="62" applyNumberFormat="1" applyFont="1" applyFill="1" applyBorder="1" applyAlignment="1">
      <alignment horizontal="right" vertical="center"/>
      <protection/>
    </xf>
    <xf numFmtId="0" fontId="0" fillId="0" borderId="0" xfId="63" applyFont="1" applyFill="1" applyBorder="1">
      <alignment/>
      <protection/>
    </xf>
    <xf numFmtId="3" fontId="0" fillId="0" borderId="0" xfId="43" applyNumberFormat="1" applyFont="1" applyFill="1" applyBorder="1" applyAlignment="1" applyProtection="1">
      <alignment/>
      <protection/>
    </xf>
    <xf numFmtId="3" fontId="30" fillId="0" borderId="0" xfId="63" applyNumberFormat="1" applyFont="1" applyFill="1" applyBorder="1" applyAlignment="1">
      <alignment horizontal="right" vertical="center"/>
      <protection/>
    </xf>
    <xf numFmtId="0" fontId="31" fillId="0" borderId="0" xfId="63" applyFont="1" applyFill="1" applyBorder="1" applyAlignment="1">
      <alignment horizontal="left" vertical="center"/>
      <protection/>
    </xf>
    <xf numFmtId="3" fontId="0" fillId="0" borderId="0" xfId="63" applyNumberFormat="1" applyFont="1" applyBorder="1">
      <alignment/>
      <protection/>
    </xf>
    <xf numFmtId="1" fontId="4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16" borderId="44" xfId="0" applyFont="1" applyFill="1" applyBorder="1" applyAlignment="1">
      <alignment/>
    </xf>
    <xf numFmtId="0" fontId="41" fillId="0" borderId="45" xfId="0" applyFont="1" applyBorder="1" applyAlignment="1">
      <alignment/>
    </xf>
    <xf numFmtId="0" fontId="41" fillId="0" borderId="45" xfId="60" applyFont="1" applyBorder="1">
      <alignment/>
      <protection/>
    </xf>
    <xf numFmtId="0" fontId="43" fillId="6" borderId="46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41" fillId="0" borderId="47" xfId="0" applyFont="1" applyFill="1" applyBorder="1" applyAlignment="1">
      <alignment/>
    </xf>
    <xf numFmtId="0" fontId="43" fillId="6" borderId="47" xfId="0" applyFont="1" applyFill="1" applyBorder="1" applyAlignment="1">
      <alignment/>
    </xf>
    <xf numFmtId="3" fontId="25" fillId="16" borderId="24" xfId="0" applyNumberFormat="1" applyFont="1" applyFill="1" applyBorder="1" applyAlignment="1">
      <alignment/>
    </xf>
    <xf numFmtId="3" fontId="25" fillId="16" borderId="18" xfId="0" applyNumberFormat="1" applyFont="1" applyFill="1" applyBorder="1" applyAlignment="1">
      <alignment/>
    </xf>
    <xf numFmtId="1" fontId="42" fillId="16" borderId="10" xfId="0" applyNumberFormat="1" applyFont="1" applyFill="1" applyBorder="1" applyAlignment="1">
      <alignment horizontal="right"/>
    </xf>
    <xf numFmtId="3" fontId="40" fillId="6" borderId="25" xfId="0" applyNumberFormat="1" applyFont="1" applyFill="1" applyBorder="1" applyAlignment="1">
      <alignment/>
    </xf>
    <xf numFmtId="3" fontId="40" fillId="6" borderId="16" xfId="0" applyNumberFormat="1" applyFont="1" applyFill="1" applyBorder="1" applyAlignment="1">
      <alignment/>
    </xf>
    <xf numFmtId="1" fontId="42" fillId="6" borderId="12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1" fontId="42" fillId="16" borderId="14" xfId="0" applyNumberFormat="1" applyFont="1" applyFill="1" applyBorder="1" applyAlignment="1">
      <alignment horizontal="right"/>
    </xf>
    <xf numFmtId="0" fontId="46" fillId="6" borderId="46" xfId="0" applyFont="1" applyFill="1" applyBorder="1" applyAlignment="1">
      <alignment/>
    </xf>
    <xf numFmtId="3" fontId="42" fillId="6" borderId="25" xfId="0" applyNumberFormat="1" applyFont="1" applyFill="1" applyBorder="1" applyAlignment="1">
      <alignment/>
    </xf>
    <xf numFmtId="3" fontId="42" fillId="6" borderId="16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24" xfId="60" applyFont="1" applyBorder="1" applyAlignment="1">
      <alignment horizontal="left"/>
      <protection/>
    </xf>
    <xf numFmtId="0" fontId="27" fillId="0" borderId="19" xfId="60" applyFont="1" applyBorder="1" applyAlignment="1">
      <alignment horizontal="left"/>
      <protection/>
    </xf>
    <xf numFmtId="49" fontId="27" fillId="0" borderId="19" xfId="61" applyNumberFormat="1" applyFont="1" applyBorder="1" applyAlignment="1">
      <alignment horizontal="left"/>
      <protection/>
    </xf>
    <xf numFmtId="0" fontId="27" fillId="0" borderId="25" xfId="60" applyFont="1" applyBorder="1" applyAlignment="1">
      <alignment horizontal="left"/>
      <protection/>
    </xf>
    <xf numFmtId="0" fontId="0" fillId="18" borderId="21" xfId="60" applyFont="1" applyFill="1" applyBorder="1" applyAlignment="1">
      <alignment horizontal="center"/>
      <protection/>
    </xf>
    <xf numFmtId="0" fontId="27" fillId="18" borderId="14" xfId="60" applyFont="1" applyFill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27" fillId="0" borderId="44" xfId="0" applyFont="1" applyBorder="1" applyAlignment="1">
      <alignment horizontal="center" vertical="center"/>
    </xf>
    <xf numFmtId="49" fontId="27" fillId="0" borderId="45" xfId="61" applyNumberFormat="1" applyFont="1" applyBorder="1" applyAlignment="1">
      <alignment horizontal="left"/>
      <protection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6" borderId="21" xfId="61" applyFont="1" applyFill="1" applyBorder="1" applyAlignment="1">
      <alignment horizontal="center" vertical="center"/>
      <protection/>
    </xf>
    <xf numFmtId="0" fontId="27" fillId="0" borderId="24" xfId="61" applyFont="1" applyBorder="1">
      <alignment/>
      <protection/>
    </xf>
    <xf numFmtId="0" fontId="27" fillId="0" borderId="18" xfId="61" applyFont="1" applyBorder="1">
      <alignment/>
      <protection/>
    </xf>
    <xf numFmtId="0" fontId="27" fillId="0" borderId="10" xfId="0" applyFont="1" applyBorder="1" applyAlignment="1">
      <alignment/>
    </xf>
    <xf numFmtId="0" fontId="27" fillId="0" borderId="19" xfId="61" applyFont="1" applyBorder="1">
      <alignment/>
      <protection/>
    </xf>
    <xf numFmtId="0" fontId="27" fillId="0" borderId="25" xfId="61" applyFont="1" applyBorder="1">
      <alignment/>
      <protection/>
    </xf>
    <xf numFmtId="0" fontId="29" fillId="0" borderId="21" xfId="61" applyFont="1" applyBorder="1">
      <alignment/>
      <protection/>
    </xf>
    <xf numFmtId="3" fontId="29" fillId="0" borderId="13" xfId="61" applyNumberFormat="1" applyFont="1" applyBorder="1">
      <alignment/>
      <protection/>
    </xf>
    <xf numFmtId="0" fontId="27" fillId="0" borderId="45" xfId="60" applyFont="1" applyBorder="1" applyAlignment="1">
      <alignment horizontal="left"/>
      <protection/>
    </xf>
    <xf numFmtId="0" fontId="27" fillId="0" borderId="11" xfId="61" applyFont="1" applyFill="1" applyBorder="1">
      <alignment/>
      <protection/>
    </xf>
    <xf numFmtId="3" fontId="35" fillId="6" borderId="13" xfId="65" applyNumberFormat="1" applyFont="1" applyFill="1" applyBorder="1" applyAlignment="1">
      <alignment horizontal="center" vertical="center" wrapText="1"/>
      <protection/>
    </xf>
    <xf numFmtId="0" fontId="33" fillId="0" borderId="48" xfId="65" applyFont="1" applyBorder="1" applyAlignment="1">
      <alignment horizontal="center"/>
      <protection/>
    </xf>
    <xf numFmtId="0" fontId="35" fillId="0" borderId="49" xfId="65" applyFont="1" applyBorder="1">
      <alignment/>
      <protection/>
    </xf>
    <xf numFmtId="0" fontId="35" fillId="0" borderId="33" xfId="65" applyFont="1" applyBorder="1">
      <alignment/>
      <protection/>
    </xf>
    <xf numFmtId="0" fontId="33" fillId="0" borderId="33" xfId="65" applyFont="1" applyBorder="1">
      <alignment/>
      <protection/>
    </xf>
    <xf numFmtId="0" fontId="35" fillId="0" borderId="50" xfId="65" applyFont="1" applyBorder="1">
      <alignment/>
      <protection/>
    </xf>
    <xf numFmtId="0" fontId="36" fillId="0" borderId="48" xfId="65" applyFont="1" applyBorder="1" applyAlignment="1">
      <alignment vertical="center"/>
      <protection/>
    </xf>
    <xf numFmtId="0" fontId="36" fillId="0" borderId="48" xfId="64" applyFont="1" applyFill="1" applyBorder="1" applyAlignment="1" applyProtection="1">
      <alignment horizontal="left" wrapText="1"/>
      <protection/>
    </xf>
    <xf numFmtId="0" fontId="32" fillId="0" borderId="44" xfId="65" applyFont="1" applyBorder="1">
      <alignment/>
      <protection/>
    </xf>
    <xf numFmtId="0" fontId="32" fillId="0" borderId="45" xfId="65" applyFont="1" applyBorder="1" applyAlignment="1">
      <alignment horizontal="center" vertical="center" wrapText="1"/>
      <protection/>
    </xf>
    <xf numFmtId="0" fontId="32" fillId="0" borderId="45" xfId="65" applyFont="1" applyBorder="1">
      <alignment/>
      <protection/>
    </xf>
    <xf numFmtId="0" fontId="34" fillId="6" borderId="48" xfId="65" applyFont="1" applyFill="1" applyBorder="1" applyAlignment="1">
      <alignment horizontal="center" vertical="center"/>
      <protection/>
    </xf>
    <xf numFmtId="191" fontId="3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5" fillId="0" borderId="33" xfId="65" applyFont="1" applyBorder="1" applyAlignment="1">
      <alignment vertical="center"/>
      <protection/>
    </xf>
    <xf numFmtId="0" fontId="0" fillId="0" borderId="48" xfId="65" applyBorder="1">
      <alignment/>
      <protection/>
    </xf>
    <xf numFmtId="0" fontId="32" fillId="0" borderId="45" xfId="65" applyFont="1" applyBorder="1" applyAlignment="1">
      <alignment horizontal="center" vertical="center"/>
      <protection/>
    </xf>
    <xf numFmtId="191" fontId="35" fillId="0" borderId="21" xfId="58" applyNumberFormat="1" applyFont="1" applyFill="1" applyBorder="1" applyAlignment="1" applyProtection="1">
      <alignment horizontal="left" vertical="center" wrapText="1"/>
      <protection/>
    </xf>
    <xf numFmtId="0" fontId="44" fillId="0" borderId="2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32" fillId="0" borderId="52" xfId="62" applyFont="1" applyBorder="1">
      <alignment/>
      <protection/>
    </xf>
    <xf numFmtId="0" fontId="34" fillId="16" borderId="27" xfId="62" applyFont="1" applyFill="1" applyBorder="1" applyAlignment="1">
      <alignment horizontal="center" vertical="center"/>
      <protection/>
    </xf>
    <xf numFmtId="0" fontId="34" fillId="16" borderId="17" xfId="62" applyFont="1" applyFill="1" applyBorder="1" applyAlignment="1">
      <alignment horizontal="center" vertical="center"/>
      <protection/>
    </xf>
    <xf numFmtId="3" fontId="30" fillId="0" borderId="17" xfId="62" applyNumberFormat="1" applyFont="1" applyBorder="1" applyAlignment="1">
      <alignment horizontal="center" vertical="center" wrapText="1"/>
      <protection/>
    </xf>
    <xf numFmtId="0" fontId="30" fillId="0" borderId="17" xfId="65" applyFont="1" applyFill="1" applyBorder="1" applyAlignment="1">
      <alignment horizontal="center" vertical="center" wrapText="1"/>
      <protection/>
    </xf>
    <xf numFmtId="3" fontId="30" fillId="0" borderId="17" xfId="63" applyNumberFormat="1" applyFont="1" applyBorder="1" applyAlignment="1">
      <alignment horizontal="center" vertical="center" wrapText="1"/>
      <protection/>
    </xf>
    <xf numFmtId="1" fontId="32" fillId="0" borderId="0" xfId="62" applyNumberFormat="1" applyFont="1" applyAlignment="1">
      <alignment horizontal="center"/>
      <protection/>
    </xf>
    <xf numFmtId="1" fontId="52" fillId="0" borderId="0" xfId="62" applyNumberFormat="1" applyFont="1" applyAlignment="1">
      <alignment horizontal="center"/>
      <protection/>
    </xf>
    <xf numFmtId="1" fontId="32" fillId="0" borderId="14" xfId="62" applyNumberFormat="1" applyFont="1" applyBorder="1" applyAlignment="1">
      <alignment horizontal="center"/>
      <protection/>
    </xf>
    <xf numFmtId="1" fontId="34" fillId="0" borderId="51" xfId="62" applyNumberFormat="1" applyFont="1" applyBorder="1" applyAlignment="1">
      <alignment horizontal="center" vertical="center"/>
      <protection/>
    </xf>
    <xf numFmtId="1" fontId="32" fillId="0" borderId="10" xfId="62" applyNumberFormat="1" applyFont="1" applyBorder="1" applyAlignment="1">
      <alignment horizontal="center"/>
      <protection/>
    </xf>
    <xf numFmtId="1" fontId="32" fillId="0" borderId="11" xfId="62" applyNumberFormat="1" applyFont="1" applyBorder="1" applyAlignment="1">
      <alignment horizontal="center"/>
      <protection/>
    </xf>
    <xf numFmtId="1" fontId="32" fillId="0" borderId="12" xfId="62" applyNumberFormat="1" applyFont="1" applyBorder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3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 wrapText="1"/>
      <protection/>
    </xf>
    <xf numFmtId="0" fontId="0" fillId="0" borderId="0" xfId="63" applyFill="1" applyBorder="1" applyAlignment="1">
      <alignment horizontal="center" vertical="center" wrapText="1"/>
      <protection/>
    </xf>
    <xf numFmtId="0" fontId="0" fillId="0" borderId="15" xfId="63" applyBorder="1">
      <alignment/>
      <protection/>
    </xf>
    <xf numFmtId="1" fontId="42" fillId="6" borderId="14" xfId="0" applyNumberFormat="1" applyFont="1" applyFill="1" applyBorder="1" applyAlignment="1">
      <alignment horizontal="right"/>
    </xf>
    <xf numFmtId="0" fontId="25" fillId="0" borderId="4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0" fillId="0" borderId="19" xfId="62" applyFont="1" applyBorder="1">
      <alignment/>
      <protection/>
    </xf>
    <xf numFmtId="0" fontId="0" fillId="0" borderId="19" xfId="62" applyFont="1" applyBorder="1" applyAlignment="1">
      <alignment wrapText="1"/>
      <protection/>
    </xf>
    <xf numFmtId="1" fontId="30" fillId="0" borderId="51" xfId="63" applyNumberFormat="1" applyFont="1" applyBorder="1" applyAlignment="1">
      <alignment horizontal="center" vertical="center"/>
      <protection/>
    </xf>
    <xf numFmtId="0" fontId="0" fillId="0" borderId="38" xfId="62" applyFont="1" applyBorder="1">
      <alignment/>
      <protection/>
    </xf>
    <xf numFmtId="3" fontId="0" fillId="0" borderId="36" xfId="62" applyNumberFormat="1" applyBorder="1">
      <alignment/>
      <protection/>
    </xf>
    <xf numFmtId="3" fontId="0" fillId="0" borderId="36" xfId="63" applyNumberFormat="1" applyFont="1" applyBorder="1" applyAlignment="1">
      <alignment horizontal="right"/>
      <protection/>
    </xf>
    <xf numFmtId="1" fontId="0" fillId="0" borderId="12" xfId="63" applyNumberFormat="1" applyFont="1" applyBorder="1" applyAlignment="1">
      <alignment horizontal="center"/>
      <protection/>
    </xf>
    <xf numFmtId="0" fontId="0" fillId="0" borderId="38" xfId="62" applyFont="1" applyBorder="1" applyAlignment="1">
      <alignment wrapText="1"/>
      <protection/>
    </xf>
    <xf numFmtId="1" fontId="0" fillId="0" borderId="37" xfId="63" applyNumberFormat="1" applyFont="1" applyBorder="1" applyAlignment="1">
      <alignment horizontal="center"/>
      <protection/>
    </xf>
    <xf numFmtId="0" fontId="0" fillId="0" borderId="43" xfId="62" applyFont="1" applyBorder="1" applyAlignment="1">
      <alignment horizontal="right"/>
      <protection/>
    </xf>
    <xf numFmtId="3" fontId="32" fillId="0" borderId="30" xfId="62" applyNumberFormat="1" applyFont="1" applyBorder="1" applyAlignment="1">
      <alignment horizontal="right"/>
      <protection/>
    </xf>
    <xf numFmtId="0" fontId="33" fillId="0" borderId="38" xfId="62" applyFont="1" applyBorder="1">
      <alignment/>
      <protection/>
    </xf>
    <xf numFmtId="3" fontId="49" fillId="0" borderId="37" xfId="62" applyNumberFormat="1" applyFont="1" applyBorder="1">
      <alignment/>
      <protection/>
    </xf>
    <xf numFmtId="0" fontId="24" fillId="0" borderId="14" xfId="0" applyFont="1" applyBorder="1" applyAlignment="1">
      <alignment horizontal="center" vertical="center"/>
    </xf>
    <xf numFmtId="0" fontId="34" fillId="0" borderId="25" xfId="62" applyFont="1" applyBorder="1" applyAlignment="1">
      <alignment horizontal="center" vertical="center" wrapText="1"/>
      <protection/>
    </xf>
    <xf numFmtId="0" fontId="34" fillId="0" borderId="16" xfId="62" applyFont="1" applyBorder="1" applyAlignment="1">
      <alignment horizontal="center" vertical="center" wrapText="1"/>
      <protection/>
    </xf>
    <xf numFmtId="0" fontId="0" fillId="0" borderId="53" xfId="62" applyFont="1" applyBorder="1" applyAlignment="1">
      <alignment horizontal="right"/>
      <protection/>
    </xf>
    <xf numFmtId="0" fontId="34" fillId="0" borderId="38" xfId="62" applyFont="1" applyBorder="1" applyAlignment="1">
      <alignment horizontal="center" vertical="center" wrapText="1"/>
      <protection/>
    </xf>
    <xf numFmtId="0" fontId="34" fillId="0" borderId="36" xfId="62" applyFont="1" applyBorder="1" applyAlignment="1">
      <alignment horizontal="center" vertical="center" wrapText="1"/>
      <protection/>
    </xf>
    <xf numFmtId="3" fontId="37" fillId="6" borderId="54" xfId="62" applyNumberFormat="1" applyFont="1" applyFill="1" applyBorder="1">
      <alignment/>
      <protection/>
    </xf>
    <xf numFmtId="3" fontId="37" fillId="6" borderId="55" xfId="62" applyNumberFormat="1" applyFont="1" applyFill="1" applyBorder="1">
      <alignment/>
      <protection/>
    </xf>
    <xf numFmtId="3" fontId="37" fillId="6" borderId="56" xfId="62" applyNumberFormat="1" applyFont="1" applyFill="1" applyBorder="1">
      <alignment/>
      <protection/>
    </xf>
    <xf numFmtId="0" fontId="32" fillId="0" borderId="43" xfId="65" applyFont="1" applyBorder="1">
      <alignment/>
      <protection/>
    </xf>
    <xf numFmtId="0" fontId="33" fillId="0" borderId="43" xfId="65" applyFont="1" applyBorder="1">
      <alignment/>
      <protection/>
    </xf>
    <xf numFmtId="0" fontId="35" fillId="0" borderId="24" xfId="65" applyFont="1" applyBorder="1">
      <alignment/>
      <protection/>
    </xf>
    <xf numFmtId="0" fontId="35" fillId="0" borderId="19" xfId="65" applyFont="1" applyBorder="1">
      <alignment/>
      <protection/>
    </xf>
    <xf numFmtId="0" fontId="35" fillId="0" borderId="25" xfId="65" applyFont="1" applyBorder="1">
      <alignment/>
      <protection/>
    </xf>
    <xf numFmtId="0" fontId="34" fillId="6" borderId="57" xfId="65" applyFont="1" applyFill="1" applyBorder="1" applyAlignment="1">
      <alignment horizontal="center" vertical="center" wrapText="1"/>
      <protection/>
    </xf>
    <xf numFmtId="3" fontId="35" fillId="6" borderId="51" xfId="65" applyNumberFormat="1" applyFont="1" applyFill="1" applyBorder="1" applyAlignment="1">
      <alignment horizontal="center" vertical="center" wrapText="1"/>
      <protection/>
    </xf>
    <xf numFmtId="0" fontId="36" fillId="0" borderId="21" xfId="65" applyFont="1" applyBorder="1" applyAlignment="1">
      <alignment vertical="center"/>
      <protection/>
    </xf>
    <xf numFmtId="0" fontId="36" fillId="0" borderId="21" xfId="64" applyFont="1" applyFill="1" applyBorder="1" applyAlignment="1" applyProtection="1">
      <alignment horizontal="left" wrapText="1"/>
      <protection/>
    </xf>
    <xf numFmtId="0" fontId="32" fillId="0" borderId="43" xfId="65" applyFont="1" applyBorder="1" applyAlignment="1">
      <alignment vertical="center"/>
      <protection/>
    </xf>
    <xf numFmtId="0" fontId="32" fillId="0" borderId="52" xfId="65" applyFont="1" applyBorder="1" applyAlignment="1">
      <alignment vertical="center"/>
      <protection/>
    </xf>
    <xf numFmtId="0" fontId="35" fillId="6" borderId="21" xfId="65" applyFont="1" applyFill="1" applyBorder="1" applyAlignment="1">
      <alignment vertical="center"/>
      <protection/>
    </xf>
    <xf numFmtId="3" fontId="34" fillId="6" borderId="14" xfId="65" applyNumberFormat="1" applyFont="1" applyFill="1" applyBorder="1" applyAlignment="1">
      <alignment horizontal="center" vertical="center"/>
      <protection/>
    </xf>
    <xf numFmtId="3" fontId="24" fillId="0" borderId="13" xfId="0" applyNumberFormat="1" applyFont="1" applyBorder="1" applyAlignment="1">
      <alignment horizontal="center" vertical="center" wrapText="1"/>
    </xf>
    <xf numFmtId="0" fontId="32" fillId="0" borderId="45" xfId="65" applyFont="1" applyBorder="1" applyAlignment="1">
      <alignment vertical="center"/>
      <protection/>
    </xf>
    <xf numFmtId="3" fontId="35" fillId="6" borderId="48" xfId="65" applyNumberFormat="1" applyFont="1" applyFill="1" applyBorder="1" applyAlignment="1">
      <alignment vertical="center"/>
      <protection/>
    </xf>
    <xf numFmtId="191" fontId="35" fillId="0" borderId="48" xfId="0" applyNumberFormat="1" applyFont="1" applyFill="1" applyBorder="1" applyAlignment="1">
      <alignment horizontal="left" vertical="center" wrapText="1" indent="1"/>
    </xf>
    <xf numFmtId="0" fontId="32" fillId="0" borderId="46" xfId="65" applyFont="1" applyBorder="1" applyAlignment="1">
      <alignment vertical="center"/>
      <protection/>
    </xf>
    <xf numFmtId="0" fontId="35" fillId="0" borderId="48" xfId="65" applyFont="1" applyBorder="1" applyAlignment="1">
      <alignment horizontal="left" vertical="center" indent="1"/>
      <protection/>
    </xf>
    <xf numFmtId="3" fontId="32" fillId="0" borderId="18" xfId="66" applyNumberFormat="1" applyFont="1" applyBorder="1" applyAlignment="1">
      <alignment horizontal="right" vertical="center"/>
      <protection/>
    </xf>
    <xf numFmtId="3" fontId="32" fillId="0" borderId="15" xfId="66" applyNumberFormat="1" applyFont="1" applyBorder="1" applyAlignment="1">
      <alignment horizontal="right" vertical="center"/>
      <protection/>
    </xf>
    <xf numFmtId="3" fontId="0" fillId="0" borderId="16" xfId="66" applyNumberFormat="1" applyBorder="1" applyAlignment="1">
      <alignment horizontal="right" vertical="center"/>
      <protection/>
    </xf>
    <xf numFmtId="3" fontId="34" fillId="0" borderId="13" xfId="66" applyNumberFormat="1" applyFont="1" applyBorder="1" applyAlignment="1">
      <alignment horizontal="right" vertical="center"/>
      <protection/>
    </xf>
    <xf numFmtId="3" fontId="32" fillId="0" borderId="18" xfId="66" applyNumberFormat="1" applyFont="1" applyBorder="1" applyAlignment="1">
      <alignment horizontal="right"/>
      <protection/>
    </xf>
    <xf numFmtId="3" fontId="0" fillId="0" borderId="15" xfId="66" applyNumberFormat="1" applyBorder="1" applyAlignment="1">
      <alignment horizontal="right" vertical="center"/>
      <protection/>
    </xf>
    <xf numFmtId="3" fontId="34" fillId="0" borderId="16" xfId="65" applyNumberFormat="1" applyFont="1" applyBorder="1" applyAlignment="1">
      <alignment horizontal="right" vertical="center"/>
      <protection/>
    </xf>
    <xf numFmtId="3" fontId="34" fillId="0" borderId="13" xfId="65" applyNumberFormat="1" applyFont="1" applyBorder="1" applyAlignment="1">
      <alignment horizontal="right" vertical="center"/>
      <protection/>
    </xf>
    <xf numFmtId="3" fontId="34" fillId="6" borderId="13" xfId="65" applyNumberFormat="1" applyFont="1" applyFill="1" applyBorder="1" applyAlignment="1">
      <alignment horizontal="right" vertical="center"/>
      <protection/>
    </xf>
    <xf numFmtId="3" fontId="32" fillId="0" borderId="36" xfId="66" applyNumberFormat="1" applyFont="1" applyBorder="1">
      <alignment/>
      <protection/>
    </xf>
    <xf numFmtId="3" fontId="32" fillId="0" borderId="31" xfId="66" applyNumberFormat="1" applyFont="1" applyBorder="1">
      <alignment/>
      <protection/>
    </xf>
    <xf numFmtId="0" fontId="32" fillId="0" borderId="25" xfId="62" applyFont="1" applyBorder="1" applyAlignment="1">
      <alignment horizontal="left"/>
      <protection/>
    </xf>
    <xf numFmtId="0" fontId="34" fillId="6" borderId="21" xfId="62" applyFont="1" applyFill="1" applyBorder="1">
      <alignment/>
      <protection/>
    </xf>
    <xf numFmtId="0" fontId="34" fillId="6" borderId="13" xfId="62" applyFont="1" applyFill="1" applyBorder="1">
      <alignment/>
      <protection/>
    </xf>
    <xf numFmtId="3" fontId="34" fillId="6" borderId="13" xfId="62" applyNumberFormat="1" applyFont="1" applyFill="1" applyBorder="1">
      <alignment/>
      <protection/>
    </xf>
    <xf numFmtId="1" fontId="34" fillId="6" borderId="14" xfId="62" applyNumberFormat="1" applyFont="1" applyFill="1" applyBorder="1" applyAlignment="1">
      <alignment horizontal="center"/>
      <protection/>
    </xf>
    <xf numFmtId="0" fontId="53" fillId="0" borderId="19" xfId="61" applyFont="1" applyBorder="1">
      <alignment/>
      <protection/>
    </xf>
    <xf numFmtId="0" fontId="53" fillId="0" borderId="15" xfId="0" applyFont="1" applyBorder="1" applyAlignment="1">
      <alignment/>
    </xf>
    <xf numFmtId="0" fontId="53" fillId="0" borderId="15" xfId="61" applyFont="1" applyFill="1" applyBorder="1">
      <alignment/>
      <protection/>
    </xf>
    <xf numFmtId="0" fontId="53" fillId="0" borderId="11" xfId="61" applyFont="1" applyBorder="1">
      <alignment/>
      <protection/>
    </xf>
    <xf numFmtId="0" fontId="53" fillId="0" borderId="15" xfId="61" applyFont="1" applyBorder="1">
      <alignment/>
      <protection/>
    </xf>
    <xf numFmtId="0" fontId="23" fillId="0" borderId="0" xfId="60" applyFont="1" applyBorder="1" applyAlignment="1">
      <alignment horizontal="center"/>
      <protection/>
    </xf>
    <xf numFmtId="0" fontId="0" fillId="0" borderId="0" xfId="0" applyFont="1" applyAlignment="1">
      <alignment/>
    </xf>
    <xf numFmtId="0" fontId="31" fillId="0" borderId="0" xfId="65" applyFont="1" applyAlignment="1">
      <alignment horizontal="center"/>
      <protection/>
    </xf>
    <xf numFmtId="0" fontId="32" fillId="0" borderId="0" xfId="66" applyFont="1" applyBorder="1" applyAlignment="1">
      <alignment horizontal="center" vertical="center"/>
      <protection/>
    </xf>
    <xf numFmtId="0" fontId="32" fillId="0" borderId="0" xfId="58" applyFont="1" applyBorder="1" applyAlignment="1">
      <alignment horizontal="center"/>
      <protection/>
    </xf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0" xfId="59" applyFont="1" applyBorder="1" applyAlignment="1">
      <alignment horizontal="right"/>
      <protection/>
    </xf>
    <xf numFmtId="0" fontId="26" fillId="0" borderId="0" xfId="67" applyFont="1" applyBorder="1" applyAlignment="1">
      <alignment/>
      <protection/>
    </xf>
    <xf numFmtId="0" fontId="47" fillId="0" borderId="0" xfId="59" applyFont="1" applyBorder="1" applyAlignment="1">
      <alignment horizontal="right"/>
      <protection/>
    </xf>
    <xf numFmtId="0" fontId="47" fillId="0" borderId="0" xfId="67" applyFont="1" applyBorder="1" applyAlignment="1">
      <alignment/>
      <protection/>
    </xf>
    <xf numFmtId="0" fontId="32" fillId="0" borderId="58" xfId="62" applyFont="1" applyBorder="1" applyAlignment="1">
      <alignment horizontal="center" vertical="center" wrapText="1"/>
      <protection/>
    </xf>
    <xf numFmtId="0" fontId="32" fillId="0" borderId="59" xfId="62" applyFont="1" applyBorder="1" applyAlignment="1">
      <alignment horizontal="center" vertical="center" wrapText="1"/>
      <protection/>
    </xf>
    <xf numFmtId="0" fontId="32" fillId="0" borderId="60" xfId="62" applyFont="1" applyBorder="1" applyAlignment="1">
      <alignment horizontal="center" vertical="center" wrapText="1"/>
      <protection/>
    </xf>
    <xf numFmtId="0" fontId="34" fillId="0" borderId="27" xfId="62" applyFont="1" applyBorder="1" applyAlignment="1">
      <alignment horizontal="center" vertical="center" wrapText="1"/>
      <protection/>
    </xf>
    <xf numFmtId="0" fontId="34" fillId="0" borderId="61" xfId="62" applyFont="1" applyBorder="1" applyAlignment="1">
      <alignment horizontal="center" vertical="center" wrapText="1"/>
      <protection/>
    </xf>
    <xf numFmtId="0" fontId="34" fillId="0" borderId="54" xfId="62" applyFont="1" applyBorder="1" applyAlignment="1">
      <alignment horizontal="center" vertical="center" wrapText="1"/>
      <protection/>
    </xf>
    <xf numFmtId="0" fontId="34" fillId="0" borderId="51" xfId="62" applyFont="1" applyBorder="1" applyAlignment="1">
      <alignment horizontal="center" vertical="center" wrapText="1"/>
      <protection/>
    </xf>
    <xf numFmtId="0" fontId="34" fillId="0" borderId="62" xfId="62" applyFont="1" applyBorder="1" applyAlignment="1">
      <alignment horizontal="center" vertical="center" wrapText="1"/>
      <protection/>
    </xf>
    <xf numFmtId="0" fontId="34" fillId="0" borderId="56" xfId="62" applyFont="1" applyBorder="1" applyAlignment="1">
      <alignment horizontal="center" vertical="center" wrapText="1"/>
      <protection/>
    </xf>
    <xf numFmtId="0" fontId="34" fillId="0" borderId="42" xfId="62" applyFont="1" applyBorder="1" applyAlignment="1">
      <alignment horizontal="center" vertical="center" wrapText="1"/>
      <protection/>
    </xf>
    <xf numFmtId="0" fontId="34" fillId="0" borderId="49" xfId="62" applyFont="1" applyBorder="1" applyAlignment="1">
      <alignment horizontal="center" vertical="center" wrapText="1"/>
      <protection/>
    </xf>
    <xf numFmtId="0" fontId="34" fillId="0" borderId="17" xfId="62" applyFont="1" applyBorder="1" applyAlignment="1">
      <alignment horizontal="center" vertical="center" wrapText="1"/>
      <protection/>
    </xf>
    <xf numFmtId="0" fontId="34" fillId="0" borderId="55" xfId="62" applyFont="1" applyBorder="1" applyAlignment="1">
      <alignment horizontal="center" vertical="center" wrapText="1"/>
      <protection/>
    </xf>
    <xf numFmtId="0" fontId="34" fillId="6" borderId="51" xfId="62" applyFont="1" applyFill="1" applyBorder="1" applyAlignment="1">
      <alignment horizontal="center" vertical="center" wrapText="1"/>
      <protection/>
    </xf>
    <xf numFmtId="0" fontId="34" fillId="6" borderId="56" xfId="62" applyFont="1" applyFill="1" applyBorder="1" applyAlignment="1">
      <alignment horizontal="center" vertical="center" wrapText="1"/>
      <protection/>
    </xf>
    <xf numFmtId="0" fontId="34" fillId="0" borderId="24" xfId="62" applyFont="1" applyBorder="1" applyAlignment="1">
      <alignment horizontal="center" vertical="center" wrapText="1"/>
      <protection/>
    </xf>
    <xf numFmtId="0" fontId="34" fillId="0" borderId="18" xfId="62" applyFont="1" applyBorder="1" applyAlignment="1">
      <alignment horizontal="center" vertical="center" wrapText="1"/>
      <protection/>
    </xf>
    <xf numFmtId="0" fontId="34" fillId="0" borderId="63" xfId="62" applyFont="1" applyBorder="1" applyAlignment="1">
      <alignment horizontal="center" vertical="center" wrapText="1"/>
      <protection/>
    </xf>
    <xf numFmtId="0" fontId="34" fillId="6" borderId="62" xfId="62" applyFont="1" applyFill="1" applyBorder="1" applyAlignment="1">
      <alignment horizontal="center" vertical="center" wrapText="1"/>
      <protection/>
    </xf>
    <xf numFmtId="0" fontId="0" fillId="0" borderId="64" xfId="62" applyFont="1" applyBorder="1" applyAlignment="1">
      <alignment horizontal="right" vertical="center"/>
      <protection/>
    </xf>
    <xf numFmtId="0" fontId="0" fillId="0" borderId="53" xfId="62" applyFont="1" applyBorder="1" applyAlignment="1">
      <alignment horizontal="right" vertical="center"/>
      <protection/>
    </xf>
    <xf numFmtId="0" fontId="33" fillId="0" borderId="38" xfId="62" applyFont="1" applyBorder="1" applyAlignment="1">
      <alignment horizontal="left" vertical="center"/>
      <protection/>
    </xf>
    <xf numFmtId="0" fontId="33" fillId="0" borderId="28" xfId="62" applyFont="1" applyBorder="1" applyAlignment="1">
      <alignment horizontal="left" vertical="center"/>
      <protection/>
    </xf>
    <xf numFmtId="0" fontId="34" fillId="0" borderId="57" xfId="62" applyFont="1" applyBorder="1" applyAlignment="1">
      <alignment horizontal="center" vertical="center" wrapText="1"/>
      <protection/>
    </xf>
    <xf numFmtId="0" fontId="31" fillId="0" borderId="0" xfId="62" applyFont="1" applyAlignment="1">
      <alignment horizontal="center"/>
      <protection/>
    </xf>
    <xf numFmtId="0" fontId="31" fillId="0" borderId="0" xfId="63" applyFont="1" applyBorder="1" applyAlignment="1">
      <alignment horizontal="center"/>
      <protection/>
    </xf>
    <xf numFmtId="0" fontId="0" fillId="0" borderId="0" xfId="63" applyFont="1" applyBorder="1" applyAlignment="1">
      <alignment horizontal="right"/>
      <protection/>
    </xf>
    <xf numFmtId="0" fontId="0" fillId="0" borderId="0" xfId="63" applyBorder="1" applyAlignment="1">
      <alignment horizontal="right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_2011.VI.mód. táblázatai HELYESBÍTÉS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_2011.I.félévi beszámoló táblázatai" xfId="58"/>
    <cellStyle name="Normál_adósság" xfId="59"/>
    <cellStyle name="Normál_címrend1" xfId="60"/>
    <cellStyle name="Normál_címrend2" xfId="61"/>
    <cellStyle name="Normál_Köttsv.2004" xfId="62"/>
    <cellStyle name="Normál_Köttsv.2004_2011.VI.mód. táblázatai HELYESBÍTÉS" xfId="63"/>
    <cellStyle name="Normál_KVRENMUNKA" xfId="64"/>
    <cellStyle name="Normál_mérleg" xfId="65"/>
    <cellStyle name="Normál_mérleg_2011.I.félévi beszámoló táblázatai" xfId="66"/>
    <cellStyle name="Normál_Munkafüzet2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47.00390625" style="0" customWidth="1"/>
  </cols>
  <sheetData>
    <row r="2" spans="1:5" ht="15.75">
      <c r="A2" s="488" t="s">
        <v>521</v>
      </c>
      <c r="B2" s="489"/>
      <c r="C2" s="489"/>
      <c r="D2" s="489"/>
      <c r="E2" s="489"/>
    </row>
    <row r="3" spans="1:5" ht="15.75">
      <c r="A3" s="1"/>
      <c r="B3" s="2"/>
      <c r="C3" s="2"/>
      <c r="D3" s="2"/>
      <c r="E3" s="3"/>
    </row>
    <row r="4" spans="1:5" ht="16.5" thickBot="1">
      <c r="A4" s="4"/>
      <c r="B4" s="5"/>
      <c r="C4" s="6"/>
      <c r="D4" s="7"/>
      <c r="E4" s="7"/>
    </row>
    <row r="5" spans="1:5" ht="13.5" thickBot="1">
      <c r="A5" s="8"/>
      <c r="B5" s="365" t="s">
        <v>0</v>
      </c>
      <c r="C5" s="366" t="s">
        <v>1</v>
      </c>
      <c r="D5" s="9"/>
      <c r="E5" s="4"/>
    </row>
    <row r="6" spans="1:3" ht="15" thickBot="1">
      <c r="A6" s="8"/>
      <c r="B6" s="363" t="s">
        <v>2</v>
      </c>
      <c r="C6" s="364" t="s">
        <v>3</v>
      </c>
    </row>
    <row r="7" spans="1:3" ht="14.25">
      <c r="A7" s="4"/>
      <c r="B7" s="359" t="s">
        <v>461</v>
      </c>
      <c r="C7" s="10" t="s">
        <v>5</v>
      </c>
    </row>
    <row r="8" spans="1:3" ht="14.25">
      <c r="A8" s="4"/>
      <c r="B8" s="360" t="s">
        <v>462</v>
      </c>
      <c r="C8" s="11" t="s">
        <v>7</v>
      </c>
    </row>
    <row r="9" spans="1:3" ht="14.25">
      <c r="A9" s="4"/>
      <c r="B9" s="360" t="s">
        <v>463</v>
      </c>
      <c r="C9" s="11" t="s">
        <v>9</v>
      </c>
    </row>
    <row r="10" spans="1:3" ht="14.25">
      <c r="A10" s="4"/>
      <c r="B10" s="360" t="s">
        <v>464</v>
      </c>
      <c r="C10" s="11" t="s">
        <v>11</v>
      </c>
    </row>
    <row r="11" spans="1:3" ht="14.25">
      <c r="A11" s="4"/>
      <c r="B11" s="360" t="s">
        <v>465</v>
      </c>
      <c r="C11" s="11" t="s">
        <v>457</v>
      </c>
    </row>
    <row r="12" spans="1:3" ht="14.25">
      <c r="A12" s="4"/>
      <c r="B12" s="360" t="s">
        <v>459</v>
      </c>
      <c r="C12" s="11" t="s">
        <v>460</v>
      </c>
    </row>
    <row r="13" spans="1:3" ht="14.25">
      <c r="A13" s="4"/>
      <c r="B13" s="361" t="s">
        <v>466</v>
      </c>
      <c r="C13" s="11" t="s">
        <v>13</v>
      </c>
    </row>
    <row r="14" spans="1:3" ht="14.25">
      <c r="A14" s="4"/>
      <c r="B14" s="361" t="s">
        <v>467</v>
      </c>
      <c r="C14" s="11" t="s">
        <v>14</v>
      </c>
    </row>
    <row r="15" spans="1:3" ht="14.25">
      <c r="A15" s="4"/>
      <c r="B15" s="361" t="s">
        <v>468</v>
      </c>
      <c r="C15" s="11" t="s">
        <v>15</v>
      </c>
    </row>
    <row r="16" spans="1:3" ht="15" thickBot="1">
      <c r="A16" s="4"/>
      <c r="B16" s="362" t="s">
        <v>458</v>
      </c>
      <c r="C16" s="12" t="s">
        <v>456</v>
      </c>
    </row>
  </sheetData>
  <sheetProtection/>
  <mergeCells count="1">
    <mergeCell ref="A2:E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 1. melléklet a .../...(....) III.negyedéves tájékoztatóhoz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.875" style="242" customWidth="1"/>
    <col min="2" max="2" width="35.75390625" style="242" bestFit="1" customWidth="1"/>
    <col min="3" max="3" width="19.375" style="242" bestFit="1" customWidth="1"/>
    <col min="4" max="4" width="8.25390625" style="242" customWidth="1"/>
    <col min="5" max="5" width="10.375" style="242" customWidth="1"/>
    <col min="6" max="6" width="12.125" style="243" customWidth="1"/>
    <col min="7" max="7" width="11.00390625" style="411" customWidth="1"/>
    <col min="8" max="8" width="13.875" style="242" bestFit="1" customWidth="1"/>
    <col min="9" max="9" width="11.375" style="242" bestFit="1" customWidth="1"/>
    <col min="10" max="10" width="7.125" style="242" customWidth="1"/>
    <col min="11" max="11" width="11.25390625" style="242" customWidth="1"/>
    <col min="12" max="16384" width="9.125" style="242" customWidth="1"/>
  </cols>
  <sheetData>
    <row r="2" spans="8:9" ht="12.75">
      <c r="H2" s="244"/>
      <c r="I2" s="243"/>
    </row>
    <row r="3" spans="1:11" s="246" customFormat="1" ht="15.75">
      <c r="A3" s="523" t="s">
        <v>519</v>
      </c>
      <c r="B3" s="523"/>
      <c r="C3" s="523"/>
      <c r="D3" s="523"/>
      <c r="E3" s="523"/>
      <c r="F3" s="523"/>
      <c r="G3" s="523"/>
      <c r="H3" s="523"/>
      <c r="I3" s="245"/>
      <c r="J3" s="245"/>
      <c r="K3" s="245"/>
    </row>
    <row r="4" spans="2:11" s="247" customFormat="1" ht="12.75">
      <c r="B4" s="248"/>
      <c r="C4" s="248"/>
      <c r="D4" s="248"/>
      <c r="E4" s="248"/>
      <c r="F4" s="249"/>
      <c r="G4" s="412"/>
      <c r="H4" s="248"/>
      <c r="I4" s="248"/>
      <c r="J4" s="248"/>
      <c r="K4" s="248"/>
    </row>
    <row r="5" spans="2:11" s="247" customFormat="1" ht="12.75">
      <c r="B5" s="248"/>
      <c r="C5" s="248"/>
      <c r="D5" s="248"/>
      <c r="E5" s="248"/>
      <c r="F5" s="249"/>
      <c r="G5" s="412"/>
      <c r="H5" s="248"/>
      <c r="I5" s="248"/>
      <c r="J5" s="248"/>
      <c r="K5" s="248"/>
    </row>
    <row r="6" spans="2:11" s="247" customFormat="1" ht="12.75">
      <c r="B6" s="248"/>
      <c r="C6" s="248"/>
      <c r="D6" s="248"/>
      <c r="E6" s="248"/>
      <c r="F6" s="249"/>
      <c r="G6" s="412"/>
      <c r="H6" s="248"/>
      <c r="I6" s="248"/>
      <c r="J6" s="248"/>
      <c r="K6" s="248"/>
    </row>
    <row r="8" ht="13.5" thickBot="1"/>
    <row r="9" spans="1:7" s="254" customFormat="1" ht="13.5" thickBot="1">
      <c r="A9" s="250"/>
      <c r="B9" s="251" t="s">
        <v>0</v>
      </c>
      <c r="C9" s="252" t="s">
        <v>1</v>
      </c>
      <c r="D9" s="252" t="s">
        <v>22</v>
      </c>
      <c r="E9" s="252" t="s">
        <v>23</v>
      </c>
      <c r="F9" s="253" t="s">
        <v>24</v>
      </c>
      <c r="G9" s="413" t="s">
        <v>25</v>
      </c>
    </row>
    <row r="10" spans="1:7" s="256" customFormat="1" ht="26.25" thickBot="1">
      <c r="A10" s="255"/>
      <c r="B10" s="406" t="s">
        <v>365</v>
      </c>
      <c r="C10" s="407" t="s">
        <v>366</v>
      </c>
      <c r="D10" s="408" t="s">
        <v>28</v>
      </c>
      <c r="E10" s="409" t="s">
        <v>486</v>
      </c>
      <c r="F10" s="410" t="s">
        <v>454</v>
      </c>
      <c r="G10" s="414" t="s">
        <v>29</v>
      </c>
    </row>
    <row r="11" spans="1:7" ht="12.75">
      <c r="A11" s="257" t="s">
        <v>4</v>
      </c>
      <c r="B11" s="258" t="s">
        <v>367</v>
      </c>
      <c r="C11" s="259" t="s">
        <v>368</v>
      </c>
      <c r="D11" s="260">
        <v>1000</v>
      </c>
      <c r="E11" s="260">
        <v>1000</v>
      </c>
      <c r="F11" s="197">
        <v>959</v>
      </c>
      <c r="G11" s="415">
        <f>F11/E11*100</f>
        <v>95.89999999999999</v>
      </c>
    </row>
    <row r="12" spans="1:7" ht="12.75">
      <c r="A12" s="261" t="s">
        <v>6</v>
      </c>
      <c r="B12" s="262" t="s">
        <v>369</v>
      </c>
      <c r="C12" s="263" t="s">
        <v>370</v>
      </c>
      <c r="D12" s="264">
        <f>9000+28861</f>
        <v>37861</v>
      </c>
      <c r="E12" s="264">
        <f>9000+28861</f>
        <v>37861</v>
      </c>
      <c r="F12" s="202">
        <v>36271</v>
      </c>
      <c r="G12" s="416">
        <f aca="true" t="shared" si="0" ref="G12:G20">F12/E12*100</f>
        <v>95.80042788093289</v>
      </c>
    </row>
    <row r="13" spans="1:7" ht="12.75">
      <c r="A13" s="261" t="s">
        <v>8</v>
      </c>
      <c r="B13" s="262" t="s">
        <v>371</v>
      </c>
      <c r="C13" s="263" t="s">
        <v>372</v>
      </c>
      <c r="D13" s="264">
        <v>100</v>
      </c>
      <c r="E13" s="264">
        <v>100</v>
      </c>
      <c r="F13" s="202">
        <v>250</v>
      </c>
      <c r="G13" s="416">
        <f t="shared" si="0"/>
        <v>250</v>
      </c>
    </row>
    <row r="14" spans="1:7" ht="24">
      <c r="A14" s="261" t="s">
        <v>10</v>
      </c>
      <c r="B14" s="262" t="s">
        <v>373</v>
      </c>
      <c r="C14" s="265" t="s">
        <v>374</v>
      </c>
      <c r="D14" s="264">
        <f>15000-13000</f>
        <v>2000</v>
      </c>
      <c r="E14" s="264">
        <f>15000-13000+20000</f>
        <v>22000</v>
      </c>
      <c r="F14" s="202">
        <v>46608</v>
      </c>
      <c r="G14" s="416">
        <f t="shared" si="0"/>
        <v>211.85454545454547</v>
      </c>
    </row>
    <row r="15" spans="1:7" ht="12.75">
      <c r="A15" s="261" t="s">
        <v>12</v>
      </c>
      <c r="B15" s="262" t="s">
        <v>474</v>
      </c>
      <c r="C15" s="265" t="s">
        <v>475</v>
      </c>
      <c r="D15" s="264"/>
      <c r="E15" s="264">
        <v>1000</v>
      </c>
      <c r="F15" s="202">
        <v>1000</v>
      </c>
      <c r="G15" s="416">
        <f t="shared" si="0"/>
        <v>100</v>
      </c>
    </row>
    <row r="16" spans="1:7" ht="12.75">
      <c r="A16" s="261" t="s">
        <v>35</v>
      </c>
      <c r="B16" s="262" t="s">
        <v>375</v>
      </c>
      <c r="C16" s="263" t="s">
        <v>372</v>
      </c>
      <c r="D16" s="264">
        <v>500</v>
      </c>
      <c r="E16" s="264">
        <v>500</v>
      </c>
      <c r="F16" s="202"/>
      <c r="G16" s="416"/>
    </row>
    <row r="17" spans="1:7" ht="24">
      <c r="A17" s="261" t="s">
        <v>37</v>
      </c>
      <c r="B17" s="262" t="s">
        <v>376</v>
      </c>
      <c r="C17" s="265" t="s">
        <v>377</v>
      </c>
      <c r="D17" s="264">
        <f>292000-6000-29600</f>
        <v>256400</v>
      </c>
      <c r="E17" s="264">
        <f>292000-6000-29600</f>
        <v>256400</v>
      </c>
      <c r="F17" s="202">
        <v>109821</v>
      </c>
      <c r="G17" s="416">
        <f t="shared" si="0"/>
        <v>42.831903276131044</v>
      </c>
    </row>
    <row r="18" spans="1:7" ht="12.75">
      <c r="A18" s="261" t="s">
        <v>39</v>
      </c>
      <c r="B18" s="262" t="s">
        <v>378</v>
      </c>
      <c r="C18" s="265" t="s">
        <v>379</v>
      </c>
      <c r="D18" s="264">
        <v>500</v>
      </c>
      <c r="E18" s="264">
        <v>500</v>
      </c>
      <c r="F18" s="202">
        <v>500</v>
      </c>
      <c r="G18" s="416">
        <f t="shared" si="0"/>
        <v>100</v>
      </c>
    </row>
    <row r="19" spans="1:7" ht="24">
      <c r="A19" s="261" t="s">
        <v>41</v>
      </c>
      <c r="B19" s="262" t="s">
        <v>380</v>
      </c>
      <c r="C19" s="265" t="s">
        <v>381</v>
      </c>
      <c r="D19" s="264">
        <v>2500</v>
      </c>
      <c r="E19" s="264">
        <v>2500</v>
      </c>
      <c r="F19" s="202">
        <v>150</v>
      </c>
      <c r="G19" s="416">
        <f t="shared" si="0"/>
        <v>6</v>
      </c>
    </row>
    <row r="20" spans="1:7" ht="24.75" thickBot="1">
      <c r="A20" s="261" t="s">
        <v>43</v>
      </c>
      <c r="B20" s="478" t="s">
        <v>382</v>
      </c>
      <c r="C20" s="266" t="s">
        <v>383</v>
      </c>
      <c r="D20" s="267">
        <v>1800</v>
      </c>
      <c r="E20" s="267">
        <v>1800</v>
      </c>
      <c r="F20" s="221">
        <v>850</v>
      </c>
      <c r="G20" s="417">
        <f t="shared" si="0"/>
        <v>47.22222222222222</v>
      </c>
    </row>
    <row r="21" spans="1:7" ht="13.5" thickBot="1">
      <c r="A21" s="405" t="s">
        <v>47</v>
      </c>
      <c r="B21" s="479" t="s">
        <v>310</v>
      </c>
      <c r="C21" s="480"/>
      <c r="D21" s="481">
        <f>SUM(D11:D20)</f>
        <v>302661</v>
      </c>
      <c r="E21" s="481">
        <f>SUM(E11:E20)</f>
        <v>323661</v>
      </c>
      <c r="F21" s="481">
        <f>SUM(F11:F20)</f>
        <v>196409</v>
      </c>
      <c r="G21" s="482">
        <f>F21/E21*100</f>
        <v>60.68355470693102</v>
      </c>
    </row>
  </sheetData>
  <sheetProtection/>
  <mergeCells count="1">
    <mergeCell ref="A3:H3"/>
  </mergeCells>
  <printOptions horizontalCentered="1"/>
  <pageMargins left="0.5905511811023623" right="0.1968503937007874" top="1.03" bottom="0.5905511811023623" header="0.31496062992125984" footer="0.31496062992125984"/>
  <pageSetup horizontalDpi="600" verticalDpi="600" orientation="landscape" paperSize="9" scale="95" r:id="rId1"/>
  <headerFooter alignWithMargins="0">
    <oddHeader>&amp;L&amp;8 10. melléklet a .../......(......) III.negyedéves tájékoztatóhoz&amp;C&amp;"Arial CE,Félkövér"&amp;11
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62.875" style="271" customWidth="1"/>
    <col min="2" max="3" width="11.125" style="271" customWidth="1"/>
    <col min="4" max="4" width="12.875" style="269" bestFit="1" customWidth="1"/>
    <col min="5" max="5" width="11.375" style="270" customWidth="1"/>
    <col min="6" max="16384" width="9.125" style="271" customWidth="1"/>
  </cols>
  <sheetData>
    <row r="1" spans="1:3" ht="15">
      <c r="A1" s="524" t="s">
        <v>384</v>
      </c>
      <c r="B1" s="524"/>
      <c r="C1" s="268"/>
    </row>
    <row r="2" spans="2:5" ht="12.75">
      <c r="B2" s="272"/>
      <c r="C2" s="272"/>
      <c r="D2" s="272"/>
      <c r="E2" s="273"/>
    </row>
    <row r="3" spans="1:5" ht="13.5" thickBot="1">
      <c r="A3" s="525" t="s">
        <v>312</v>
      </c>
      <c r="B3" s="526"/>
      <c r="C3" s="526"/>
      <c r="D3" s="526"/>
      <c r="E3" s="273"/>
    </row>
    <row r="4" spans="1:5" ht="13.5" thickBot="1">
      <c r="A4" s="274" t="s">
        <v>0</v>
      </c>
      <c r="B4" s="275" t="s">
        <v>1</v>
      </c>
      <c r="C4" s="275" t="s">
        <v>22</v>
      </c>
      <c r="D4" s="276" t="s">
        <v>23</v>
      </c>
      <c r="E4" s="277" t="s">
        <v>24</v>
      </c>
    </row>
    <row r="5" spans="1:5" ht="26.25" thickBot="1">
      <c r="A5" s="185" t="s">
        <v>385</v>
      </c>
      <c r="B5" s="408" t="s">
        <v>28</v>
      </c>
      <c r="C5" s="409" t="s">
        <v>486</v>
      </c>
      <c r="D5" s="410" t="s">
        <v>454</v>
      </c>
      <c r="E5" s="428" t="s">
        <v>29</v>
      </c>
    </row>
    <row r="6" spans="1:5" ht="12.75">
      <c r="A6" s="278" t="s">
        <v>386</v>
      </c>
      <c r="B6" s="279">
        <v>10000</v>
      </c>
      <c r="C6" s="279">
        <v>10000</v>
      </c>
      <c r="D6" s="280">
        <v>6360</v>
      </c>
      <c r="E6" s="281">
        <f>D6/C6*100</f>
        <v>63.6</v>
      </c>
    </row>
    <row r="7" spans="1:5" ht="12.75">
      <c r="A7" s="282" t="s">
        <v>387</v>
      </c>
      <c r="B7" s="283">
        <v>24333</v>
      </c>
      <c r="C7" s="283">
        <v>24333</v>
      </c>
      <c r="D7" s="284">
        <v>228</v>
      </c>
      <c r="E7" s="285">
        <f aca="true" t="shared" si="0" ref="E7:E42">D7/C7*100</f>
        <v>0.9369991369744791</v>
      </c>
    </row>
    <row r="8" spans="1:5" ht="12.75">
      <c r="A8" s="282" t="s">
        <v>388</v>
      </c>
      <c r="B8" s="283">
        <v>71824</v>
      </c>
      <c r="C8" s="283">
        <v>71824</v>
      </c>
      <c r="D8" s="284">
        <v>74785</v>
      </c>
      <c r="E8" s="285">
        <f t="shared" si="0"/>
        <v>104.12257741145021</v>
      </c>
    </row>
    <row r="9" spans="1:5" ht="12.75">
      <c r="A9" s="286" t="s">
        <v>389</v>
      </c>
      <c r="B9" s="283">
        <v>157715</v>
      </c>
      <c r="C9" s="283">
        <v>157715</v>
      </c>
      <c r="D9" s="284">
        <v>4255</v>
      </c>
      <c r="E9" s="285">
        <f t="shared" si="0"/>
        <v>2.6979044478965224</v>
      </c>
    </row>
    <row r="10" spans="1:5" ht="12.75">
      <c r="A10" s="286" t="s">
        <v>390</v>
      </c>
      <c r="B10" s="283">
        <f>175239-157715</f>
        <v>17524</v>
      </c>
      <c r="C10" s="283">
        <f>175239-157715</f>
        <v>17524</v>
      </c>
      <c r="D10" s="284"/>
      <c r="E10" s="285"/>
    </row>
    <row r="11" spans="1:5" ht="12.75">
      <c r="A11" s="286" t="s">
        <v>391</v>
      </c>
      <c r="B11" s="283">
        <v>285253</v>
      </c>
      <c r="C11" s="283">
        <v>285253</v>
      </c>
      <c r="D11" s="284">
        <v>238325</v>
      </c>
      <c r="E11" s="285">
        <f t="shared" si="0"/>
        <v>83.5486392781145</v>
      </c>
    </row>
    <row r="12" spans="1:5" ht="12.75">
      <c r="A12" s="286" t="s">
        <v>392</v>
      </c>
      <c r="B12" s="283">
        <v>50338</v>
      </c>
      <c r="C12" s="283">
        <v>50338</v>
      </c>
      <c r="D12" s="284">
        <v>5790</v>
      </c>
      <c r="E12" s="285">
        <f t="shared" si="0"/>
        <v>11.502244824983114</v>
      </c>
    </row>
    <row r="13" spans="1:5" ht="12.75">
      <c r="A13" s="286" t="s">
        <v>393</v>
      </c>
      <c r="B13" s="283">
        <v>182203</v>
      </c>
      <c r="C13" s="283">
        <v>182203</v>
      </c>
      <c r="D13" s="284">
        <v>109322</v>
      </c>
      <c r="E13" s="285">
        <f t="shared" si="0"/>
        <v>60.00010976767671</v>
      </c>
    </row>
    <row r="14" spans="1:5" ht="12.75">
      <c r="A14" s="286" t="s">
        <v>394</v>
      </c>
      <c r="B14" s="283">
        <v>32483</v>
      </c>
      <c r="C14" s="283">
        <v>32483</v>
      </c>
      <c r="D14" s="284">
        <v>81682</v>
      </c>
      <c r="E14" s="285">
        <f t="shared" si="0"/>
        <v>251.4607640919866</v>
      </c>
    </row>
    <row r="15" spans="1:5" ht="12.75">
      <c r="A15" s="286" t="s">
        <v>395</v>
      </c>
      <c r="B15" s="283">
        <v>2888</v>
      </c>
      <c r="C15" s="283">
        <v>2888</v>
      </c>
      <c r="D15" s="284"/>
      <c r="E15" s="285"/>
    </row>
    <row r="16" spans="1:5" ht="12.75">
      <c r="A16" s="286" t="s">
        <v>476</v>
      </c>
      <c r="B16" s="283">
        <v>572</v>
      </c>
      <c r="C16" s="283">
        <v>572</v>
      </c>
      <c r="D16" s="284">
        <v>507</v>
      </c>
      <c r="E16" s="285">
        <f t="shared" si="0"/>
        <v>88.63636363636364</v>
      </c>
    </row>
    <row r="17" spans="1:5" ht="12.75">
      <c r="A17" s="286" t="s">
        <v>477</v>
      </c>
      <c r="B17" s="283"/>
      <c r="C17" s="283"/>
      <c r="D17" s="284">
        <v>200</v>
      </c>
      <c r="E17" s="285"/>
    </row>
    <row r="18" spans="1:5" ht="12.75">
      <c r="A18" s="286" t="s">
        <v>396</v>
      </c>
      <c r="B18" s="283">
        <v>108557</v>
      </c>
      <c r="C18" s="283">
        <v>108557</v>
      </c>
      <c r="D18" s="284"/>
      <c r="E18" s="285"/>
    </row>
    <row r="19" spans="1:5" ht="12.75">
      <c r="A19" s="282" t="s">
        <v>397</v>
      </c>
      <c r="B19" s="283">
        <v>149430</v>
      </c>
      <c r="C19" s="283">
        <v>149430</v>
      </c>
      <c r="D19" s="284">
        <v>55831</v>
      </c>
      <c r="E19" s="285">
        <f t="shared" si="0"/>
        <v>37.36264471658971</v>
      </c>
    </row>
    <row r="20" spans="1:5" ht="12.75">
      <c r="A20" s="282" t="s">
        <v>398</v>
      </c>
      <c r="B20" s="283">
        <f>157295-149430</f>
        <v>7865</v>
      </c>
      <c r="C20" s="283">
        <f>157295-149430</f>
        <v>7865</v>
      </c>
      <c r="D20" s="284">
        <v>34998</v>
      </c>
      <c r="E20" s="285">
        <f t="shared" si="0"/>
        <v>444.98410680228864</v>
      </c>
    </row>
    <row r="21" spans="1:5" ht="25.5">
      <c r="A21" s="287" t="s">
        <v>399</v>
      </c>
      <c r="B21" s="288">
        <v>337866</v>
      </c>
      <c r="C21" s="288">
        <v>337866</v>
      </c>
      <c r="D21" s="284">
        <v>81618</v>
      </c>
      <c r="E21" s="285">
        <f t="shared" si="0"/>
        <v>24.15691427962565</v>
      </c>
    </row>
    <row r="22" spans="1:5" ht="12.75">
      <c r="A22" s="282" t="s">
        <v>400</v>
      </c>
      <c r="B22" s="288">
        <v>97222</v>
      </c>
      <c r="C22" s="288">
        <v>97222</v>
      </c>
      <c r="D22" s="284">
        <v>24306</v>
      </c>
      <c r="E22" s="285">
        <f t="shared" si="0"/>
        <v>25.000514286889796</v>
      </c>
    </row>
    <row r="23" spans="1:5" ht="12.75">
      <c r="A23" s="282" t="s">
        <v>401</v>
      </c>
      <c r="B23" s="288">
        <v>10000</v>
      </c>
      <c r="C23" s="288">
        <v>10000</v>
      </c>
      <c r="D23" s="284"/>
      <c r="E23" s="285"/>
    </row>
    <row r="24" spans="1:5" ht="12.75">
      <c r="A24" s="282" t="s">
        <v>402</v>
      </c>
      <c r="B24" s="288">
        <v>3500</v>
      </c>
      <c r="C24" s="288">
        <v>3500</v>
      </c>
      <c r="D24" s="284">
        <v>3150</v>
      </c>
      <c r="E24" s="285">
        <f t="shared" si="0"/>
        <v>90</v>
      </c>
    </row>
    <row r="25" spans="1:5" ht="25.5">
      <c r="A25" s="287" t="s">
        <v>403</v>
      </c>
      <c r="B25" s="288">
        <v>147177</v>
      </c>
      <c r="C25" s="288">
        <v>147177</v>
      </c>
      <c r="D25" s="284"/>
      <c r="E25" s="285"/>
    </row>
    <row r="26" spans="1:5" ht="12.75">
      <c r="A26" s="282" t="s">
        <v>404</v>
      </c>
      <c r="B26" s="288">
        <v>39673</v>
      </c>
      <c r="C26" s="288">
        <v>39673</v>
      </c>
      <c r="D26" s="284"/>
      <c r="E26" s="285"/>
    </row>
    <row r="27" spans="1:5" ht="12.75">
      <c r="A27" s="282" t="s">
        <v>405</v>
      </c>
      <c r="B27" s="288">
        <v>14834</v>
      </c>
      <c r="C27" s="288">
        <v>14834</v>
      </c>
      <c r="D27" s="284"/>
      <c r="E27" s="285"/>
    </row>
    <row r="28" spans="1:5" ht="12.75">
      <c r="A28" s="426" t="s">
        <v>487</v>
      </c>
      <c r="B28" s="288"/>
      <c r="C28" s="288"/>
      <c r="D28" s="284">
        <v>304867</v>
      </c>
      <c r="E28" s="285"/>
    </row>
    <row r="29" spans="1:5" ht="38.25">
      <c r="A29" s="287" t="s">
        <v>406</v>
      </c>
      <c r="B29" s="288">
        <v>34991</v>
      </c>
      <c r="C29" s="288">
        <v>34991</v>
      </c>
      <c r="D29" s="284">
        <v>8748</v>
      </c>
      <c r="E29" s="285">
        <f t="shared" si="0"/>
        <v>25.000714469435</v>
      </c>
    </row>
    <row r="30" spans="1:5" ht="12.75">
      <c r="A30" s="282" t="s">
        <v>407</v>
      </c>
      <c r="B30" s="288">
        <v>18000</v>
      </c>
      <c r="C30" s="288">
        <v>18000</v>
      </c>
      <c r="D30" s="284"/>
      <c r="E30" s="285"/>
    </row>
    <row r="31" spans="1:5" ht="12.75">
      <c r="A31" s="282" t="s">
        <v>408</v>
      </c>
      <c r="B31" s="288">
        <v>60000</v>
      </c>
      <c r="C31" s="288">
        <v>60000</v>
      </c>
      <c r="D31" s="284"/>
      <c r="E31" s="285"/>
    </row>
    <row r="32" spans="1:5" ht="12.75">
      <c r="A32" s="282" t="s">
        <v>409</v>
      </c>
      <c r="B32" s="288">
        <v>15000</v>
      </c>
      <c r="C32" s="288">
        <v>15000</v>
      </c>
      <c r="D32" s="284"/>
      <c r="E32" s="285"/>
    </row>
    <row r="33" spans="1:5" ht="12.75">
      <c r="A33" s="282" t="s">
        <v>410</v>
      </c>
      <c r="B33" s="288">
        <v>36578</v>
      </c>
      <c r="C33" s="288">
        <v>36578</v>
      </c>
      <c r="D33" s="284">
        <v>5196</v>
      </c>
      <c r="E33" s="285">
        <f t="shared" si="0"/>
        <v>14.205259992345127</v>
      </c>
    </row>
    <row r="34" spans="1:5" ht="12.75">
      <c r="A34" s="282" t="s">
        <v>478</v>
      </c>
      <c r="B34" s="288"/>
      <c r="C34" s="288">
        <v>12373</v>
      </c>
      <c r="D34" s="284">
        <v>12373</v>
      </c>
      <c r="E34" s="285"/>
    </row>
    <row r="35" spans="1:5" ht="12.75">
      <c r="A35" s="282" t="s">
        <v>294</v>
      </c>
      <c r="B35" s="288">
        <v>6500</v>
      </c>
      <c r="C35" s="288">
        <v>6500</v>
      </c>
      <c r="D35" s="284">
        <v>3048</v>
      </c>
      <c r="E35" s="285">
        <f t="shared" si="0"/>
        <v>46.892307692307696</v>
      </c>
    </row>
    <row r="36" spans="1:5" ht="12.75">
      <c r="A36" s="282" t="s">
        <v>282</v>
      </c>
      <c r="B36" s="288">
        <v>70000</v>
      </c>
      <c r="C36" s="288">
        <v>70000</v>
      </c>
      <c r="D36" s="284">
        <v>43885</v>
      </c>
      <c r="E36" s="285">
        <f t="shared" si="0"/>
        <v>62.692857142857136</v>
      </c>
    </row>
    <row r="37" spans="1:5" ht="12.75">
      <c r="A37" s="282" t="s">
        <v>411</v>
      </c>
      <c r="B37" s="288">
        <v>6860</v>
      </c>
      <c r="C37" s="288">
        <v>6860</v>
      </c>
      <c r="D37" s="284"/>
      <c r="E37" s="285"/>
    </row>
    <row r="38" spans="1:5" ht="12.75">
      <c r="A38" s="282" t="s">
        <v>522</v>
      </c>
      <c r="B38" s="288"/>
      <c r="C38" s="288">
        <v>453</v>
      </c>
      <c r="D38" s="284">
        <v>453</v>
      </c>
      <c r="E38" s="285">
        <f t="shared" si="0"/>
        <v>100</v>
      </c>
    </row>
    <row r="39" spans="1:5" ht="12.75">
      <c r="A39" s="426" t="s">
        <v>488</v>
      </c>
      <c r="B39" s="288"/>
      <c r="C39" s="288"/>
      <c r="D39" s="284">
        <v>30</v>
      </c>
      <c r="E39" s="285"/>
    </row>
    <row r="40" spans="1:5" ht="12.75">
      <c r="A40" s="282" t="s">
        <v>512</v>
      </c>
      <c r="B40" s="288"/>
      <c r="C40" s="288"/>
      <c r="D40" s="284">
        <v>1164</v>
      </c>
      <c r="E40" s="285"/>
    </row>
    <row r="41" spans="1:5" ht="12.75">
      <c r="A41" s="426" t="s">
        <v>518</v>
      </c>
      <c r="B41" s="288"/>
      <c r="C41" s="288"/>
      <c r="D41" s="284">
        <v>1621</v>
      </c>
      <c r="E41" s="285"/>
    </row>
    <row r="42" spans="1:5" ht="12.75">
      <c r="A42" s="282" t="s">
        <v>412</v>
      </c>
      <c r="B42" s="288">
        <v>9000</v>
      </c>
      <c r="C42" s="288">
        <v>9000</v>
      </c>
      <c r="D42" s="284">
        <v>3354</v>
      </c>
      <c r="E42" s="285">
        <f t="shared" si="0"/>
        <v>37.266666666666666</v>
      </c>
    </row>
    <row r="43" spans="1:5" ht="13.5" thickBot="1">
      <c r="A43" s="289" t="s">
        <v>413</v>
      </c>
      <c r="B43" s="290">
        <v>714070</v>
      </c>
      <c r="C43" s="290">
        <v>1041985</v>
      </c>
      <c r="D43" s="291"/>
      <c r="E43" s="432"/>
    </row>
    <row r="44" spans="1:5" ht="15.75" thickBot="1">
      <c r="A44" s="292" t="s">
        <v>20</v>
      </c>
      <c r="B44" s="293">
        <f>SUM(B6:B43)</f>
        <v>2722256</v>
      </c>
      <c r="C44" s="293">
        <f>SUM(C6:C43)</f>
        <v>3062997</v>
      </c>
      <c r="D44" s="293">
        <f>SUM(D6:D43)</f>
        <v>1106096</v>
      </c>
      <c r="E44" s="294">
        <f>D44/C44*100</f>
        <v>36.111560017851794</v>
      </c>
    </row>
    <row r="45" spans="2:5" ht="12.75">
      <c r="B45" s="295"/>
      <c r="C45" s="295"/>
      <c r="D45" s="296"/>
      <c r="E45" s="273"/>
    </row>
    <row r="46" spans="2:5" ht="12.75">
      <c r="B46" s="295"/>
      <c r="C46" s="295"/>
      <c r="D46" s="296"/>
      <c r="E46" s="273"/>
    </row>
    <row r="47" spans="2:5" ht="12.75">
      <c r="B47" s="295"/>
      <c r="C47" s="295"/>
      <c r="D47" s="296"/>
      <c r="E47" s="273"/>
    </row>
    <row r="48" spans="1:5" ht="15">
      <c r="A48" s="524" t="s">
        <v>414</v>
      </c>
      <c r="B48" s="524"/>
      <c r="C48" s="524"/>
      <c r="D48" s="524"/>
      <c r="E48" s="273"/>
    </row>
    <row r="49" spans="2:7" ht="12.75">
      <c r="B49" s="295"/>
      <c r="C49" s="295"/>
      <c r="D49" s="296"/>
      <c r="E49" s="273"/>
      <c r="F49" s="312"/>
      <c r="G49" s="312"/>
    </row>
    <row r="50" spans="1:7" ht="13.5" thickBot="1">
      <c r="A50" s="525" t="s">
        <v>312</v>
      </c>
      <c r="B50" s="526"/>
      <c r="C50" s="526"/>
      <c r="D50" s="526"/>
      <c r="E50" s="273"/>
      <c r="F50" s="311"/>
      <c r="G50" s="311"/>
    </row>
    <row r="51" spans="1:7" s="297" customFormat="1" ht="13.5" thickBot="1">
      <c r="A51" s="274" t="s">
        <v>0</v>
      </c>
      <c r="B51" s="275" t="s">
        <v>1</v>
      </c>
      <c r="C51" s="275" t="s">
        <v>22</v>
      </c>
      <c r="D51" s="276" t="s">
        <v>23</v>
      </c>
      <c r="E51" s="277" t="s">
        <v>24</v>
      </c>
      <c r="F51" s="418"/>
      <c r="G51" s="419"/>
    </row>
    <row r="52" spans="1:7" s="298" customFormat="1" ht="26.25" thickBot="1">
      <c r="A52" s="185" t="s">
        <v>415</v>
      </c>
      <c r="B52" s="408" t="s">
        <v>28</v>
      </c>
      <c r="C52" s="409" t="s">
        <v>486</v>
      </c>
      <c r="D52" s="410" t="s">
        <v>454</v>
      </c>
      <c r="E52" s="428" t="s">
        <v>29</v>
      </c>
      <c r="F52" s="420"/>
      <c r="G52" s="421"/>
    </row>
    <row r="53" spans="1:7" ht="12.75">
      <c r="A53" s="299" t="s">
        <v>416</v>
      </c>
      <c r="B53" s="300">
        <f>SUM(B54:B78)</f>
        <v>1538839</v>
      </c>
      <c r="C53" s="300">
        <f>SUM(C54:C86)</f>
        <v>1553462</v>
      </c>
      <c r="D53" s="300">
        <f>SUM(D54:D86)</f>
        <v>332364</v>
      </c>
      <c r="E53" s="301">
        <f>D53/C53*100</f>
        <v>21.395051826179206</v>
      </c>
      <c r="F53" s="321"/>
      <c r="G53" s="311"/>
    </row>
    <row r="54" spans="1:7" ht="12.75">
      <c r="A54" s="282" t="s">
        <v>417</v>
      </c>
      <c r="B54" s="302">
        <v>24333</v>
      </c>
      <c r="C54" s="302">
        <v>24333</v>
      </c>
      <c r="D54" s="284">
        <v>11841</v>
      </c>
      <c r="E54" s="285">
        <f>D54/C54*100</f>
        <v>48.6623104426088</v>
      </c>
      <c r="F54" s="311"/>
      <c r="G54" s="311"/>
    </row>
    <row r="55" spans="1:7" ht="12.75">
      <c r="A55" s="286" t="s">
        <v>418</v>
      </c>
      <c r="B55" s="288">
        <v>108557</v>
      </c>
      <c r="C55" s="288">
        <v>108557</v>
      </c>
      <c r="D55" s="284"/>
      <c r="E55" s="285"/>
      <c r="F55" s="311"/>
      <c r="G55" s="311"/>
    </row>
    <row r="56" spans="1:7" ht="12.75">
      <c r="A56" s="286" t="s">
        <v>419</v>
      </c>
      <c r="B56" s="288">
        <v>175239</v>
      </c>
      <c r="C56" s="288">
        <v>175239</v>
      </c>
      <c r="D56" s="284">
        <v>5320</v>
      </c>
      <c r="E56" s="285">
        <f>D56/C56*100</f>
        <v>3.0358538909717585</v>
      </c>
      <c r="F56" s="311"/>
      <c r="G56" s="311"/>
    </row>
    <row r="57" spans="1:7" ht="12.75">
      <c r="A57" s="286" t="s">
        <v>391</v>
      </c>
      <c r="B57" s="288">
        <v>335591</v>
      </c>
      <c r="C57" s="288">
        <v>335591</v>
      </c>
      <c r="D57" s="284">
        <v>117692</v>
      </c>
      <c r="E57" s="285">
        <f>D57/C57*100</f>
        <v>35.070070413092125</v>
      </c>
      <c r="F57" s="311"/>
      <c r="G57" s="311"/>
    </row>
    <row r="58" spans="1:7" ht="12.75">
      <c r="A58" s="286" t="s">
        <v>479</v>
      </c>
      <c r="B58" s="288"/>
      <c r="C58" s="288"/>
      <c r="D58" s="284">
        <v>3600</v>
      </c>
      <c r="E58" s="285"/>
      <c r="F58" s="311"/>
      <c r="G58" s="311"/>
    </row>
    <row r="59" spans="1:7" ht="12.75">
      <c r="A59" s="286" t="s">
        <v>480</v>
      </c>
      <c r="B59" s="288"/>
      <c r="C59" s="288"/>
      <c r="D59" s="284">
        <v>1518</v>
      </c>
      <c r="E59" s="285"/>
      <c r="F59" s="311"/>
      <c r="G59" s="311"/>
    </row>
    <row r="60" spans="1:7" ht="12.75">
      <c r="A60" s="282" t="s">
        <v>420</v>
      </c>
      <c r="B60" s="288">
        <v>157295</v>
      </c>
      <c r="C60" s="288">
        <v>157295</v>
      </c>
      <c r="D60" s="284">
        <v>97529</v>
      </c>
      <c r="E60" s="285">
        <f>D60/C60*100</f>
        <v>62.003878063511245</v>
      </c>
      <c r="F60" s="311"/>
      <c r="G60" s="311"/>
    </row>
    <row r="61" spans="1:7" ht="25.5">
      <c r="A61" s="287" t="s">
        <v>399</v>
      </c>
      <c r="B61" s="288">
        <v>337866</v>
      </c>
      <c r="C61" s="288">
        <v>337866</v>
      </c>
      <c r="D61" s="284">
        <v>7398</v>
      </c>
      <c r="E61" s="285">
        <f>D61/C61*100</f>
        <v>2.1896254728205857</v>
      </c>
      <c r="F61" s="311"/>
      <c r="G61" s="311"/>
    </row>
    <row r="62" spans="1:7" ht="12.75">
      <c r="A62" s="282" t="s">
        <v>421</v>
      </c>
      <c r="B62" s="288">
        <v>97222</v>
      </c>
      <c r="C62" s="288">
        <v>97222</v>
      </c>
      <c r="D62" s="284"/>
      <c r="E62" s="285"/>
      <c r="F62" s="311"/>
      <c r="G62" s="311"/>
    </row>
    <row r="63" spans="1:7" ht="12.75">
      <c r="A63" s="282" t="s">
        <v>422</v>
      </c>
      <c r="B63" s="288">
        <v>14590</v>
      </c>
      <c r="C63" s="288">
        <v>14590</v>
      </c>
      <c r="D63" s="284">
        <v>14589</v>
      </c>
      <c r="E63" s="285">
        <f>D63/C63*100</f>
        <v>99.99314599040439</v>
      </c>
      <c r="F63" s="311"/>
      <c r="G63" s="311"/>
    </row>
    <row r="64" spans="1:7" ht="12.75">
      <c r="A64" s="282" t="s">
        <v>423</v>
      </c>
      <c r="B64" s="288">
        <v>6500</v>
      </c>
      <c r="C64" s="288">
        <v>6500</v>
      </c>
      <c r="D64" s="284"/>
      <c r="E64" s="285"/>
      <c r="F64" s="311"/>
      <c r="G64" s="311"/>
    </row>
    <row r="65" spans="1:7" ht="25.5">
      <c r="A65" s="287" t="s">
        <v>424</v>
      </c>
      <c r="B65" s="288">
        <v>147177</v>
      </c>
      <c r="C65" s="288">
        <v>147177</v>
      </c>
      <c r="D65" s="284"/>
      <c r="E65" s="285"/>
      <c r="F65" s="311"/>
      <c r="G65" s="311"/>
    </row>
    <row r="66" spans="1:7" ht="25.5">
      <c r="A66" s="287" t="s">
        <v>425</v>
      </c>
      <c r="B66" s="288">
        <v>39673</v>
      </c>
      <c r="C66" s="288">
        <v>39673</v>
      </c>
      <c r="D66" s="284"/>
      <c r="E66" s="285"/>
      <c r="F66" s="311"/>
      <c r="G66" s="311"/>
    </row>
    <row r="67" spans="1:7" ht="12.75">
      <c r="A67" s="282" t="s">
        <v>405</v>
      </c>
      <c r="B67" s="288">
        <v>14834</v>
      </c>
      <c r="C67" s="288">
        <v>14834</v>
      </c>
      <c r="D67" s="284"/>
      <c r="E67" s="285"/>
      <c r="F67" s="311"/>
      <c r="G67" s="311"/>
    </row>
    <row r="68" spans="1:7" ht="12.75">
      <c r="A68" s="282" t="s">
        <v>426</v>
      </c>
      <c r="B68" s="288">
        <v>1499</v>
      </c>
      <c r="C68" s="288">
        <v>1499</v>
      </c>
      <c r="D68" s="284">
        <v>1753</v>
      </c>
      <c r="E68" s="285">
        <f>D68/C68*100</f>
        <v>116.94462975316877</v>
      </c>
      <c r="F68" s="311"/>
      <c r="G68" s="311"/>
    </row>
    <row r="69" spans="1:7" ht="12.75">
      <c r="A69" s="282" t="s">
        <v>427</v>
      </c>
      <c r="B69" s="288">
        <v>18000</v>
      </c>
      <c r="C69" s="288">
        <v>18000</v>
      </c>
      <c r="D69" s="284"/>
      <c r="E69" s="285"/>
      <c r="F69" s="311"/>
      <c r="G69" s="311"/>
    </row>
    <row r="70" spans="1:7" ht="12.75">
      <c r="A70" s="286" t="s">
        <v>428</v>
      </c>
      <c r="B70" s="288">
        <v>572</v>
      </c>
      <c r="C70" s="288">
        <v>572</v>
      </c>
      <c r="D70" s="284">
        <v>506</v>
      </c>
      <c r="E70" s="285">
        <f>D70/C70*100</f>
        <v>88.46153846153845</v>
      </c>
      <c r="F70" s="311"/>
      <c r="G70" s="311"/>
    </row>
    <row r="71" spans="1:7" ht="12.75">
      <c r="A71" s="286" t="s">
        <v>429</v>
      </c>
      <c r="B71" s="288">
        <v>1000</v>
      </c>
      <c r="C71" s="288">
        <v>1000</v>
      </c>
      <c r="D71" s="284"/>
      <c r="E71" s="285"/>
      <c r="F71" s="311"/>
      <c r="G71" s="311"/>
    </row>
    <row r="72" spans="1:7" ht="12.75">
      <c r="A72" s="282" t="s">
        <v>430</v>
      </c>
      <c r="B72" s="288">
        <v>15000</v>
      </c>
      <c r="C72" s="288">
        <v>15000</v>
      </c>
      <c r="D72" s="284">
        <v>1861</v>
      </c>
      <c r="E72" s="285">
        <f>D72/C72*100</f>
        <v>12.406666666666668</v>
      </c>
      <c r="F72" s="311"/>
      <c r="G72" s="311"/>
    </row>
    <row r="73" spans="1:7" ht="12.75">
      <c r="A73" s="282" t="s">
        <v>431</v>
      </c>
      <c r="B73" s="288">
        <f>2200+3700</f>
        <v>5900</v>
      </c>
      <c r="C73" s="288">
        <f>2200+3700</f>
        <v>5900</v>
      </c>
      <c r="D73" s="284">
        <v>4855</v>
      </c>
      <c r="E73" s="285">
        <f>D73/C73*100</f>
        <v>82.28813559322033</v>
      </c>
      <c r="F73" s="311"/>
      <c r="G73" s="311"/>
    </row>
    <row r="74" spans="1:7" ht="12.75">
      <c r="A74" s="282" t="s">
        <v>481</v>
      </c>
      <c r="B74" s="288"/>
      <c r="C74" s="288"/>
      <c r="D74" s="284">
        <v>8660</v>
      </c>
      <c r="E74" s="285"/>
      <c r="F74" s="311"/>
      <c r="G74" s="311"/>
    </row>
    <row r="75" spans="1:7" ht="12.75">
      <c r="A75" s="282" t="s">
        <v>482</v>
      </c>
      <c r="B75" s="288"/>
      <c r="C75" s="288"/>
      <c r="D75" s="284">
        <v>2000</v>
      </c>
      <c r="E75" s="285"/>
      <c r="F75" s="311"/>
      <c r="G75" s="311"/>
    </row>
    <row r="76" spans="1:7" ht="12.75">
      <c r="A76" s="282" t="s">
        <v>432</v>
      </c>
      <c r="B76" s="288">
        <v>3000</v>
      </c>
      <c r="C76" s="288">
        <v>3000</v>
      </c>
      <c r="D76" s="284">
        <v>3000</v>
      </c>
      <c r="E76" s="285">
        <f>D76/C76*100</f>
        <v>100</v>
      </c>
      <c r="F76" s="311"/>
      <c r="G76" s="311"/>
    </row>
    <row r="77" spans="1:7" ht="12.75">
      <c r="A77" s="426" t="s">
        <v>438</v>
      </c>
      <c r="B77" s="288"/>
      <c r="C77" s="288"/>
      <c r="D77" s="284">
        <v>21990</v>
      </c>
      <c r="E77" s="285"/>
      <c r="F77" s="311"/>
      <c r="G77" s="311"/>
    </row>
    <row r="78" spans="1:7" ht="38.25">
      <c r="A78" s="287" t="s">
        <v>406</v>
      </c>
      <c r="B78" s="288">
        <v>34991</v>
      </c>
      <c r="C78" s="288">
        <v>34991</v>
      </c>
      <c r="D78" s="284">
        <v>457</v>
      </c>
      <c r="E78" s="285">
        <f>D78/C78*100</f>
        <v>1.3060501271755593</v>
      </c>
      <c r="F78" s="311"/>
      <c r="G78" s="311"/>
    </row>
    <row r="79" spans="1:7" ht="12.75">
      <c r="A79" s="287" t="s">
        <v>433</v>
      </c>
      <c r="B79" s="288"/>
      <c r="C79" s="288"/>
      <c r="D79" s="284">
        <v>185</v>
      </c>
      <c r="E79" s="285"/>
      <c r="F79" s="311"/>
      <c r="G79" s="311"/>
    </row>
    <row r="80" spans="1:7" ht="12.75">
      <c r="A80" s="287" t="s">
        <v>434</v>
      </c>
      <c r="B80" s="288"/>
      <c r="C80" s="288"/>
      <c r="D80" s="284">
        <v>1856</v>
      </c>
      <c r="E80" s="285"/>
      <c r="F80" s="323"/>
      <c r="G80" s="311"/>
    </row>
    <row r="81" spans="1:7" ht="12.75">
      <c r="A81" s="287" t="s">
        <v>435</v>
      </c>
      <c r="B81" s="288"/>
      <c r="C81" s="288">
        <v>10373</v>
      </c>
      <c r="D81" s="284">
        <v>10373</v>
      </c>
      <c r="E81" s="285"/>
      <c r="F81" s="230"/>
      <c r="G81" s="311"/>
    </row>
    <row r="82" spans="1:7" ht="12.75">
      <c r="A82" s="287" t="s">
        <v>436</v>
      </c>
      <c r="B82" s="288"/>
      <c r="C82" s="288">
        <v>2000</v>
      </c>
      <c r="D82" s="284">
        <v>2000</v>
      </c>
      <c r="E82" s="285">
        <f>D82/C82*100</f>
        <v>100</v>
      </c>
      <c r="F82" s="311"/>
      <c r="G82" s="311"/>
    </row>
    <row r="83" spans="1:7" ht="12.75">
      <c r="A83" s="287" t="s">
        <v>437</v>
      </c>
      <c r="B83" s="288"/>
      <c r="C83" s="288"/>
      <c r="D83" s="284">
        <v>2147</v>
      </c>
      <c r="E83" s="285"/>
      <c r="F83" s="311"/>
      <c r="G83" s="311"/>
    </row>
    <row r="84" spans="1:7" ht="12.75">
      <c r="A84" s="427" t="s">
        <v>490</v>
      </c>
      <c r="B84" s="288"/>
      <c r="C84" s="288"/>
      <c r="D84" s="284">
        <v>7000</v>
      </c>
      <c r="E84" s="285"/>
      <c r="F84" s="311"/>
      <c r="G84" s="311"/>
    </row>
    <row r="85" spans="1:7" ht="12.75">
      <c r="A85" s="427" t="s">
        <v>437</v>
      </c>
      <c r="B85" s="288"/>
      <c r="C85" s="422"/>
      <c r="D85" s="284">
        <v>1934</v>
      </c>
      <c r="E85" s="285"/>
      <c r="F85" s="311"/>
      <c r="G85" s="311"/>
    </row>
    <row r="86" spans="1:7" ht="13.5" thickBot="1">
      <c r="A86" s="433" t="s">
        <v>483</v>
      </c>
      <c r="B86" s="430"/>
      <c r="C86" s="430">
        <v>2250</v>
      </c>
      <c r="D86" s="431">
        <v>2300</v>
      </c>
      <c r="E86" s="434">
        <f>D86/C86*100</f>
        <v>102.22222222222221</v>
      </c>
      <c r="F86" s="311"/>
      <c r="G86" s="311"/>
    </row>
    <row r="87" spans="1:7" ht="12.75">
      <c r="A87" s="303" t="s">
        <v>439</v>
      </c>
      <c r="B87" s="304">
        <f>SUM(B88:B95)</f>
        <v>212144</v>
      </c>
      <c r="C87" s="304">
        <f>SUM(C88:C96)</f>
        <v>216502</v>
      </c>
      <c r="D87" s="304">
        <f>SUM(D88:D95)</f>
        <v>372552</v>
      </c>
      <c r="E87" s="301">
        <f>D87/C87*100</f>
        <v>172.07785609370814</v>
      </c>
      <c r="F87" s="311"/>
      <c r="G87" s="311"/>
    </row>
    <row r="88" spans="1:7" ht="12.75">
      <c r="A88" s="286" t="s">
        <v>440</v>
      </c>
      <c r="B88" s="288">
        <f>71824-10400</f>
        <v>61424</v>
      </c>
      <c r="C88" s="288">
        <v>61424</v>
      </c>
      <c r="D88" s="284">
        <v>39859</v>
      </c>
      <c r="E88" s="285">
        <f>D88/C88*100</f>
        <v>64.89157332638707</v>
      </c>
      <c r="F88" s="311"/>
      <c r="G88" s="311"/>
    </row>
    <row r="89" spans="1:7" ht="12.75">
      <c r="A89" s="286" t="s">
        <v>441</v>
      </c>
      <c r="B89" s="288"/>
      <c r="C89" s="288"/>
      <c r="D89" s="284">
        <v>247957</v>
      </c>
      <c r="E89" s="285"/>
      <c r="F89" s="311"/>
      <c r="G89" s="311"/>
    </row>
    <row r="90" spans="1:7" ht="12.75">
      <c r="A90" s="286" t="s">
        <v>442</v>
      </c>
      <c r="B90" s="288">
        <f>32483-7294</f>
        <v>25189</v>
      </c>
      <c r="C90" s="288">
        <v>25189</v>
      </c>
      <c r="D90" s="284">
        <v>68882</v>
      </c>
      <c r="E90" s="285">
        <f>D90/C90*100</f>
        <v>273.460637579896</v>
      </c>
      <c r="F90" s="323"/>
      <c r="G90" s="311"/>
    </row>
    <row r="91" spans="1:7" ht="12.75">
      <c r="A91" s="286" t="s">
        <v>443</v>
      </c>
      <c r="B91" s="288">
        <f>2888-1000</f>
        <v>1888</v>
      </c>
      <c r="C91" s="288">
        <f>2888-1000</f>
        <v>1888</v>
      </c>
      <c r="D91" s="284"/>
      <c r="E91" s="285"/>
      <c r="F91" s="323"/>
      <c r="G91" s="311"/>
    </row>
    <row r="92" spans="1:7" ht="12.75">
      <c r="A92" s="282" t="s">
        <v>444</v>
      </c>
      <c r="B92" s="288">
        <v>60000</v>
      </c>
      <c r="C92" s="288">
        <v>60000</v>
      </c>
      <c r="D92" s="284"/>
      <c r="E92" s="285"/>
      <c r="F92" s="311"/>
      <c r="G92" s="311"/>
    </row>
    <row r="93" spans="1:7" ht="12.75">
      <c r="A93" s="282" t="s">
        <v>445</v>
      </c>
      <c r="B93" s="288">
        <v>36578</v>
      </c>
      <c r="C93" s="288">
        <v>36578</v>
      </c>
      <c r="D93" s="284">
        <v>13125</v>
      </c>
      <c r="E93" s="285">
        <f>D93/C93*100</f>
        <v>35.882224287823284</v>
      </c>
      <c r="F93" s="311"/>
      <c r="G93" s="311"/>
    </row>
    <row r="94" spans="1:7" ht="12.75">
      <c r="A94" s="282" t="s">
        <v>446</v>
      </c>
      <c r="B94" s="288">
        <v>6860</v>
      </c>
      <c r="C94" s="288">
        <v>6860</v>
      </c>
      <c r="D94" s="284">
        <v>2729</v>
      </c>
      <c r="E94" s="285">
        <f>D94/C94*100</f>
        <v>39.78134110787172</v>
      </c>
      <c r="F94" s="311"/>
      <c r="G94" s="311"/>
    </row>
    <row r="95" spans="1:7" ht="12.75">
      <c r="A95" s="282" t="s">
        <v>447</v>
      </c>
      <c r="B95" s="288">
        <f>23205-3000</f>
        <v>20205</v>
      </c>
      <c r="C95" s="288">
        <f>23205-3000</f>
        <v>20205</v>
      </c>
      <c r="D95" s="284"/>
      <c r="E95" s="285"/>
      <c r="F95" s="323"/>
      <c r="G95" s="311"/>
    </row>
    <row r="96" spans="1:7" ht="13.5" thickBot="1">
      <c r="A96" s="289" t="s">
        <v>491</v>
      </c>
      <c r="B96" s="290"/>
      <c r="C96" s="290">
        <v>4358</v>
      </c>
      <c r="D96" s="291"/>
      <c r="E96" s="432"/>
      <c r="F96" s="323"/>
      <c r="G96" s="311"/>
    </row>
    <row r="97" spans="1:7" ht="12.75">
      <c r="A97" s="303" t="s">
        <v>448</v>
      </c>
      <c r="B97" s="304">
        <f>SUM(B98:B105)</f>
        <v>971273</v>
      </c>
      <c r="C97" s="304">
        <f>SUM(C98:C105)</f>
        <v>1292580</v>
      </c>
      <c r="D97" s="304">
        <f>SUM(D98:D105)</f>
        <v>522693</v>
      </c>
      <c r="E97" s="301">
        <f>D97/C97*100</f>
        <v>40.43796128672887</v>
      </c>
      <c r="F97" s="230"/>
      <c r="G97" s="311"/>
    </row>
    <row r="98" spans="1:7" ht="12.75">
      <c r="A98" s="282" t="s">
        <v>293</v>
      </c>
      <c r="B98" s="288">
        <v>70000</v>
      </c>
      <c r="C98" s="288">
        <v>70000</v>
      </c>
      <c r="D98" s="284">
        <v>52811</v>
      </c>
      <c r="E98" s="285"/>
      <c r="F98" s="311"/>
      <c r="G98" s="311"/>
    </row>
    <row r="99" spans="1:7" ht="12.75">
      <c r="A99" s="282" t="s">
        <v>288</v>
      </c>
      <c r="B99" s="288">
        <v>5000</v>
      </c>
      <c r="C99" s="288">
        <v>5000</v>
      </c>
      <c r="D99" s="284">
        <v>600</v>
      </c>
      <c r="E99" s="285">
        <f>D99/B99*100</f>
        <v>12</v>
      </c>
      <c r="F99" s="311"/>
      <c r="G99" s="311"/>
    </row>
    <row r="100" spans="1:7" ht="12.75">
      <c r="A100" s="282" t="s">
        <v>484</v>
      </c>
      <c r="B100" s="288">
        <v>182203</v>
      </c>
      <c r="C100" s="288">
        <v>182203</v>
      </c>
      <c r="D100" s="284">
        <v>109322</v>
      </c>
      <c r="E100" s="285">
        <f>D100/B100*100</f>
        <v>60.00010976767671</v>
      </c>
      <c r="F100" s="311"/>
      <c r="G100" s="311"/>
    </row>
    <row r="101" spans="1:7" ht="12.75">
      <c r="A101" s="282" t="s">
        <v>485</v>
      </c>
      <c r="B101" s="288"/>
      <c r="C101" s="288"/>
      <c r="D101" s="284">
        <v>11040</v>
      </c>
      <c r="E101" s="285"/>
      <c r="F101" s="311"/>
      <c r="G101" s="311"/>
    </row>
    <row r="102" spans="1:7" ht="12.75">
      <c r="A102" s="426" t="s">
        <v>489</v>
      </c>
      <c r="B102" s="288"/>
      <c r="C102" s="288"/>
      <c r="D102" s="284">
        <v>382</v>
      </c>
      <c r="E102" s="285"/>
      <c r="F102" s="311"/>
      <c r="G102" s="311"/>
    </row>
    <row r="103" spans="1:7" ht="12.75">
      <c r="A103" s="429" t="s">
        <v>513</v>
      </c>
      <c r="B103" s="288"/>
      <c r="C103" s="288"/>
      <c r="D103" s="284">
        <v>348038</v>
      </c>
      <c r="E103" s="285"/>
      <c r="F103" s="311"/>
      <c r="G103" s="311"/>
    </row>
    <row r="104" spans="1:7" ht="12.75">
      <c r="A104" s="282" t="s">
        <v>449</v>
      </c>
      <c r="B104" s="288"/>
      <c r="C104" s="288">
        <v>500</v>
      </c>
      <c r="D104" s="284">
        <v>500</v>
      </c>
      <c r="E104" s="285"/>
      <c r="F104" s="311"/>
      <c r="G104" s="311"/>
    </row>
    <row r="105" spans="1:7" ht="13.5" thickBot="1">
      <c r="A105" s="289" t="s">
        <v>450</v>
      </c>
      <c r="B105" s="290">
        <v>714070</v>
      </c>
      <c r="C105" s="290">
        <v>1034877</v>
      </c>
      <c r="D105" s="291"/>
      <c r="E105" s="432"/>
      <c r="F105" s="311"/>
      <c r="G105" s="311"/>
    </row>
    <row r="106" spans="1:7" ht="15.75" thickBot="1">
      <c r="A106" s="305" t="s">
        <v>20</v>
      </c>
      <c r="B106" s="306">
        <f>B53+B87+B97</f>
        <v>2722256</v>
      </c>
      <c r="C106" s="306">
        <f>C53+C87+C97</f>
        <v>3062544</v>
      </c>
      <c r="D106" s="306">
        <f>D53+D87+D97</f>
        <v>1227609</v>
      </c>
      <c r="E106" s="294">
        <f>D106/C106*100</f>
        <v>40.084615927150764</v>
      </c>
      <c r="F106" s="328"/>
      <c r="G106" s="311"/>
    </row>
    <row r="107" spans="2:7" ht="12.75">
      <c r="B107" s="295"/>
      <c r="C107" s="295"/>
      <c r="D107" s="296"/>
      <c r="E107" s="273"/>
      <c r="F107" s="311"/>
      <c r="G107" s="311"/>
    </row>
    <row r="108" spans="2:7" ht="12.75">
      <c r="B108" s="295"/>
      <c r="C108" s="295"/>
      <c r="D108" s="296"/>
      <c r="E108" s="273"/>
      <c r="F108" s="311"/>
      <c r="G108" s="311"/>
    </row>
    <row r="109" spans="2:5" ht="12.75">
      <c r="B109" s="295"/>
      <c r="C109" s="295"/>
      <c r="D109" s="296"/>
      <c r="E109" s="273"/>
    </row>
    <row r="110" spans="2:5" ht="12.75">
      <c r="B110" s="295"/>
      <c r="C110" s="295"/>
      <c r="D110" s="296"/>
      <c r="E110" s="273"/>
    </row>
    <row r="111" spans="2:5" ht="12.75">
      <c r="B111" s="295"/>
      <c r="C111" s="295"/>
      <c r="D111" s="296"/>
      <c r="E111" s="273"/>
    </row>
    <row r="112" spans="2:5" ht="12.75">
      <c r="B112" s="295"/>
      <c r="C112" s="295"/>
      <c r="D112" s="296"/>
      <c r="E112" s="273"/>
    </row>
    <row r="113" spans="2:5" ht="12.75">
      <c r="B113" s="295"/>
      <c r="C113" s="295"/>
      <c r="D113" s="296"/>
      <c r="E113" s="273"/>
    </row>
    <row r="114" spans="2:5" ht="12.75">
      <c r="B114" s="295"/>
      <c r="C114" s="295"/>
      <c r="D114" s="296"/>
      <c r="E114" s="273"/>
    </row>
    <row r="115" spans="2:5" ht="12.75">
      <c r="B115" s="295"/>
      <c r="C115" s="295"/>
      <c r="D115" s="296"/>
      <c r="E115" s="273"/>
    </row>
    <row r="116" spans="2:5" ht="12.75">
      <c r="B116" s="295"/>
      <c r="C116" s="295"/>
      <c r="D116" s="296"/>
      <c r="E116" s="273"/>
    </row>
    <row r="117" spans="1:6" ht="12.75">
      <c r="A117" s="307"/>
      <c r="B117" s="308"/>
      <c r="C117" s="308"/>
      <c r="D117" s="309"/>
      <c r="E117" s="310"/>
      <c r="F117" s="307"/>
    </row>
    <row r="118" spans="1:6" ht="12.75">
      <c r="A118" s="307"/>
      <c r="B118" s="308"/>
      <c r="C118" s="308"/>
      <c r="D118" s="309"/>
      <c r="E118" s="310"/>
      <c r="F118" s="307"/>
    </row>
    <row r="119" spans="1:7" ht="12.75">
      <c r="A119" s="311"/>
      <c r="B119" s="308"/>
      <c r="C119" s="308"/>
      <c r="D119" s="309"/>
      <c r="E119" s="310"/>
      <c r="F119" s="311"/>
      <c r="G119" s="312"/>
    </row>
    <row r="120" spans="1:7" ht="15">
      <c r="A120" s="311"/>
      <c r="B120" s="313"/>
      <c r="C120" s="313"/>
      <c r="D120" s="314"/>
      <c r="E120" s="310"/>
      <c r="F120" s="311"/>
      <c r="G120" s="312"/>
    </row>
    <row r="121" spans="1:7" ht="12.75">
      <c r="A121" s="311"/>
      <c r="B121" s="311"/>
      <c r="C121" s="311"/>
      <c r="D121" s="314"/>
      <c r="E121" s="310"/>
      <c r="F121" s="311"/>
      <c r="G121" s="312"/>
    </row>
    <row r="122" spans="1:7" s="242" customFormat="1" ht="12.75">
      <c r="A122" s="315"/>
      <c r="B122" s="316"/>
      <c r="C122" s="316"/>
      <c r="D122" s="316"/>
      <c r="E122" s="317"/>
      <c r="F122" s="318"/>
      <c r="G122" s="319"/>
    </row>
    <row r="123" spans="1:7" ht="15" customHeight="1">
      <c r="A123" s="320"/>
      <c r="B123" s="321"/>
      <c r="C123" s="321"/>
      <c r="D123" s="321"/>
      <c r="E123" s="322"/>
      <c r="F123" s="311"/>
      <c r="G123" s="312"/>
    </row>
    <row r="124" spans="1:7" ht="15" customHeight="1">
      <c r="A124" s="234"/>
      <c r="B124" s="323"/>
      <c r="C124" s="323"/>
      <c r="D124" s="314"/>
      <c r="E124" s="310"/>
      <c r="F124" s="311"/>
      <c r="G124" s="312"/>
    </row>
    <row r="125" spans="1:7" ht="15" customHeight="1">
      <c r="A125" s="234"/>
      <c r="B125" s="323"/>
      <c r="C125" s="323"/>
      <c r="D125" s="314"/>
      <c r="E125" s="310"/>
      <c r="F125" s="311"/>
      <c r="G125" s="312"/>
    </row>
    <row r="126" spans="1:7" ht="15" customHeight="1">
      <c r="A126" s="234"/>
      <c r="B126" s="323"/>
      <c r="C126" s="323"/>
      <c r="D126" s="314"/>
      <c r="E126" s="310"/>
      <c r="F126" s="311"/>
      <c r="G126" s="312"/>
    </row>
    <row r="127" spans="1:7" ht="15" customHeight="1">
      <c r="A127" s="234"/>
      <c r="B127" s="323"/>
      <c r="C127" s="323"/>
      <c r="D127" s="314"/>
      <c r="E127" s="310"/>
      <c r="F127" s="311"/>
      <c r="G127" s="312"/>
    </row>
    <row r="128" spans="1:7" ht="15" customHeight="1">
      <c r="A128" s="324"/>
      <c r="B128" s="323"/>
      <c r="C128" s="323"/>
      <c r="D128" s="314"/>
      <c r="E128" s="310"/>
      <c r="F128" s="311"/>
      <c r="G128" s="312"/>
    </row>
    <row r="129" spans="1:7" ht="15" customHeight="1">
      <c r="A129" s="324"/>
      <c r="B129" s="323"/>
      <c r="C129" s="323"/>
      <c r="D129" s="314"/>
      <c r="E129" s="310"/>
      <c r="F129" s="311"/>
      <c r="G129" s="312"/>
    </row>
    <row r="130" spans="1:7" ht="15" customHeight="1">
      <c r="A130" s="324"/>
      <c r="B130" s="323"/>
      <c r="C130" s="323"/>
      <c r="D130" s="314"/>
      <c r="E130" s="310"/>
      <c r="F130" s="311"/>
      <c r="G130" s="312"/>
    </row>
    <row r="131" spans="1:7" ht="15" customHeight="1">
      <c r="A131" s="324"/>
      <c r="B131" s="323"/>
      <c r="C131" s="323"/>
      <c r="D131" s="314"/>
      <c r="E131" s="310"/>
      <c r="F131" s="311"/>
      <c r="G131" s="312"/>
    </row>
    <row r="132" spans="1:7" ht="15" customHeight="1">
      <c r="A132" s="324"/>
      <c r="B132" s="323"/>
      <c r="C132" s="323"/>
      <c r="D132" s="314"/>
      <c r="E132" s="310"/>
      <c r="F132" s="311"/>
      <c r="G132" s="312"/>
    </row>
    <row r="133" spans="1:7" ht="15" customHeight="1">
      <c r="A133" s="324"/>
      <c r="B133" s="323"/>
      <c r="C133" s="323"/>
      <c r="D133" s="314"/>
      <c r="E133" s="310"/>
      <c r="F133" s="311"/>
      <c r="G133" s="312"/>
    </row>
    <row r="134" spans="1:7" ht="15" customHeight="1">
      <c r="A134" s="324"/>
      <c r="B134" s="323"/>
      <c r="C134" s="323"/>
      <c r="D134" s="314"/>
      <c r="E134" s="310"/>
      <c r="F134" s="311"/>
      <c r="G134" s="312"/>
    </row>
    <row r="135" spans="1:7" ht="15" customHeight="1">
      <c r="A135" s="324"/>
      <c r="B135" s="323"/>
      <c r="C135" s="323"/>
      <c r="D135" s="314"/>
      <c r="E135" s="310"/>
      <c r="F135" s="311"/>
      <c r="G135" s="312"/>
    </row>
    <row r="136" spans="1:7" ht="15" customHeight="1">
      <c r="A136" s="324"/>
      <c r="B136" s="323"/>
      <c r="C136" s="323"/>
      <c r="D136" s="314"/>
      <c r="E136" s="310"/>
      <c r="F136" s="311"/>
      <c r="G136" s="312"/>
    </row>
    <row r="137" spans="1:7" ht="15" customHeight="1">
      <c r="A137" s="325"/>
      <c r="B137" s="230"/>
      <c r="C137" s="230"/>
      <c r="D137" s="230"/>
      <c r="E137" s="326"/>
      <c r="F137" s="311"/>
      <c r="G137" s="312"/>
    </row>
    <row r="138" spans="1:7" ht="15" customHeight="1">
      <c r="A138" s="234"/>
      <c r="B138" s="323"/>
      <c r="C138" s="323"/>
      <c r="D138" s="314"/>
      <c r="E138" s="310"/>
      <c r="F138" s="311"/>
      <c r="G138" s="312"/>
    </row>
    <row r="139" spans="1:7" ht="15" customHeight="1">
      <c r="A139" s="234"/>
      <c r="B139" s="323"/>
      <c r="C139" s="323"/>
      <c r="D139" s="314"/>
      <c r="E139" s="310"/>
      <c r="F139" s="311"/>
      <c r="G139" s="312"/>
    </row>
    <row r="140" spans="1:7" ht="15" customHeight="1">
      <c r="A140" s="234"/>
      <c r="B140" s="323"/>
      <c r="C140" s="323"/>
      <c r="D140" s="314"/>
      <c r="E140" s="310"/>
      <c r="F140" s="311"/>
      <c r="G140" s="312"/>
    </row>
    <row r="141" spans="1:7" ht="15" customHeight="1">
      <c r="A141" s="234"/>
      <c r="B141" s="323"/>
      <c r="C141" s="323"/>
      <c r="D141" s="314"/>
      <c r="E141" s="310"/>
      <c r="F141" s="311"/>
      <c r="G141" s="312"/>
    </row>
    <row r="142" spans="1:7" ht="15" customHeight="1">
      <c r="A142" s="324"/>
      <c r="B142" s="323"/>
      <c r="C142" s="323"/>
      <c r="D142" s="314"/>
      <c r="E142" s="310"/>
      <c r="F142" s="311"/>
      <c r="G142" s="312"/>
    </row>
    <row r="143" spans="1:7" ht="15" customHeight="1">
      <c r="A143" s="324"/>
      <c r="B143" s="323"/>
      <c r="C143" s="323"/>
      <c r="D143" s="314"/>
      <c r="E143" s="310"/>
      <c r="F143" s="311"/>
      <c r="G143" s="312"/>
    </row>
    <row r="144" spans="1:7" ht="15" customHeight="1">
      <c r="A144" s="324"/>
      <c r="B144" s="323"/>
      <c r="C144" s="323"/>
      <c r="D144" s="314"/>
      <c r="E144" s="310"/>
      <c r="F144" s="311"/>
      <c r="G144" s="312"/>
    </row>
    <row r="145" spans="1:7" ht="15" customHeight="1">
      <c r="A145" s="324"/>
      <c r="B145" s="323"/>
      <c r="C145" s="323"/>
      <c r="D145" s="314"/>
      <c r="E145" s="310"/>
      <c r="F145" s="311"/>
      <c r="G145" s="312"/>
    </row>
    <row r="146" spans="1:7" ht="15" customHeight="1">
      <c r="A146" s="324"/>
      <c r="B146" s="323"/>
      <c r="C146" s="323"/>
      <c r="D146" s="314"/>
      <c r="E146" s="310"/>
      <c r="F146" s="311"/>
      <c r="G146" s="312"/>
    </row>
    <row r="147" spans="1:7" ht="15" customHeight="1">
      <c r="A147" s="325"/>
      <c r="B147" s="230"/>
      <c r="C147" s="230"/>
      <c r="D147" s="230"/>
      <c r="E147" s="326"/>
      <c r="F147" s="311"/>
      <c r="G147" s="312"/>
    </row>
    <row r="148" spans="1:7" ht="15" customHeight="1">
      <c r="A148" s="324"/>
      <c r="B148" s="323"/>
      <c r="C148" s="323"/>
      <c r="D148" s="314"/>
      <c r="E148" s="310"/>
      <c r="F148" s="311"/>
      <c r="G148" s="312"/>
    </row>
    <row r="149" spans="1:7" ht="15" customHeight="1">
      <c r="A149" s="324"/>
      <c r="B149" s="323"/>
      <c r="C149" s="323"/>
      <c r="D149" s="314"/>
      <c r="E149" s="310"/>
      <c r="F149" s="311"/>
      <c r="G149" s="312"/>
    </row>
    <row r="150" spans="1:7" ht="15" customHeight="1">
      <c r="A150" s="324"/>
      <c r="B150" s="323"/>
      <c r="C150" s="323"/>
      <c r="D150" s="314"/>
      <c r="E150" s="310"/>
      <c r="F150" s="311"/>
      <c r="G150" s="312"/>
    </row>
    <row r="151" spans="1:7" ht="15" customHeight="1">
      <c r="A151" s="324"/>
      <c r="B151" s="323"/>
      <c r="C151" s="323"/>
      <c r="D151" s="314"/>
      <c r="E151" s="310"/>
      <c r="F151" s="311"/>
      <c r="G151" s="312"/>
    </row>
    <row r="152" spans="1:7" ht="15" customHeight="1">
      <c r="A152" s="324"/>
      <c r="B152" s="323"/>
      <c r="C152" s="323"/>
      <c r="D152" s="314"/>
      <c r="E152" s="310"/>
      <c r="F152" s="311"/>
      <c r="G152" s="312"/>
    </row>
    <row r="153" spans="1:7" ht="15" customHeight="1">
      <c r="A153" s="324"/>
      <c r="B153" s="323"/>
      <c r="C153" s="323"/>
      <c r="D153" s="314"/>
      <c r="E153" s="310"/>
      <c r="F153" s="311"/>
      <c r="G153" s="312"/>
    </row>
    <row r="154" spans="1:7" ht="15" customHeight="1">
      <c r="A154" s="324"/>
      <c r="B154" s="323"/>
      <c r="C154" s="323"/>
      <c r="D154" s="314"/>
      <c r="E154" s="310"/>
      <c r="F154" s="311"/>
      <c r="G154" s="312"/>
    </row>
    <row r="155" spans="1:7" ht="15" customHeight="1">
      <c r="A155" s="327"/>
      <c r="B155" s="328"/>
      <c r="C155" s="328"/>
      <c r="D155" s="328"/>
      <c r="E155" s="322"/>
      <c r="F155" s="311"/>
      <c r="G155" s="312"/>
    </row>
    <row r="156" spans="1:7" ht="15" customHeight="1">
      <c r="A156" s="311"/>
      <c r="B156" s="314"/>
      <c r="C156" s="314"/>
      <c r="D156" s="314"/>
      <c r="E156" s="310"/>
      <c r="F156" s="311"/>
      <c r="G156" s="312"/>
    </row>
    <row r="157" spans="1:7" ht="15" customHeight="1">
      <c r="A157" s="329"/>
      <c r="B157" s="314"/>
      <c r="C157" s="314"/>
      <c r="D157" s="314"/>
      <c r="E157" s="310"/>
      <c r="F157" s="311"/>
      <c r="G157" s="312"/>
    </row>
    <row r="158" spans="1:7" ht="15" customHeight="1">
      <c r="A158" s="329"/>
      <c r="B158" s="314"/>
      <c r="C158" s="314"/>
      <c r="D158" s="330"/>
      <c r="E158" s="310"/>
      <c r="F158" s="312"/>
      <c r="G158" s="312"/>
    </row>
    <row r="159" spans="1:5" ht="15" customHeight="1">
      <c r="A159" s="329"/>
      <c r="B159" s="314"/>
      <c r="C159" s="314"/>
      <c r="D159" s="330"/>
      <c r="E159" s="310"/>
    </row>
    <row r="160" spans="1:5" ht="15" customHeight="1">
      <c r="A160" s="329"/>
      <c r="B160" s="314"/>
      <c r="C160" s="314"/>
      <c r="D160" s="314"/>
      <c r="E160" s="310"/>
    </row>
    <row r="161" spans="1:5" ht="15" customHeight="1">
      <c r="A161" s="329"/>
      <c r="B161" s="311"/>
      <c r="C161" s="311"/>
      <c r="D161" s="314"/>
      <c r="E161" s="310"/>
    </row>
    <row r="162" spans="1:5" ht="15" customHeight="1">
      <c r="A162" s="329"/>
      <c r="B162" s="311"/>
      <c r="C162" s="311"/>
      <c r="D162" s="314"/>
      <c r="E162" s="310"/>
    </row>
    <row r="163" spans="1:5" ht="15" customHeight="1">
      <c r="A163" s="329"/>
      <c r="B163" s="311"/>
      <c r="C163" s="311"/>
      <c r="D163" s="314"/>
      <c r="E163" s="310"/>
    </row>
    <row r="164" spans="1:5" ht="15" customHeight="1">
      <c r="A164" s="329"/>
      <c r="B164" s="311"/>
      <c r="C164" s="311"/>
      <c r="D164" s="314"/>
      <c r="E164" s="310"/>
    </row>
    <row r="165" spans="1:5" ht="15" customHeight="1">
      <c r="A165" s="329"/>
      <c r="B165" s="311"/>
      <c r="C165" s="311"/>
      <c r="D165" s="314"/>
      <c r="E165" s="310"/>
    </row>
    <row r="166" spans="1:5" ht="15" customHeight="1">
      <c r="A166" s="329"/>
      <c r="B166" s="311"/>
      <c r="C166" s="311"/>
      <c r="D166" s="314"/>
      <c r="E166" s="310"/>
    </row>
    <row r="167" spans="1:5" ht="15" customHeight="1">
      <c r="A167" s="329"/>
      <c r="B167" s="311"/>
      <c r="C167" s="311"/>
      <c r="D167" s="314"/>
      <c r="E167" s="310"/>
    </row>
    <row r="168" spans="1:5" ht="15" customHeight="1">
      <c r="A168" s="329"/>
      <c r="B168" s="311"/>
      <c r="C168" s="311"/>
      <c r="D168" s="314"/>
      <c r="E168" s="310"/>
    </row>
    <row r="169" spans="1:5" ht="15" customHeight="1">
      <c r="A169" s="329"/>
      <c r="B169" s="311"/>
      <c r="C169" s="311"/>
      <c r="D169" s="314"/>
      <c r="E169" s="310"/>
    </row>
    <row r="170" spans="1:5" ht="15" customHeight="1">
      <c r="A170" s="329"/>
      <c r="B170" s="311"/>
      <c r="C170" s="311"/>
      <c r="D170" s="314"/>
      <c r="E170" s="310"/>
    </row>
    <row r="171" spans="1:5" ht="15" customHeight="1">
      <c r="A171" s="329"/>
      <c r="B171" s="331"/>
      <c r="C171" s="331"/>
      <c r="D171" s="331"/>
      <c r="E171" s="310"/>
    </row>
    <row r="172" spans="1:3" ht="12.75" customHeight="1">
      <c r="A172" s="332"/>
      <c r="B172" s="333"/>
      <c r="C172" s="333"/>
    </row>
    <row r="173" spans="2:3" ht="12.75" customHeight="1">
      <c r="B173" s="269"/>
      <c r="C173" s="269"/>
    </row>
    <row r="174" ht="12.75" customHeight="1"/>
    <row r="175" ht="12.75" customHeight="1"/>
    <row r="176" spans="2:3" ht="12.75">
      <c r="B176" s="269"/>
      <c r="C176" s="269"/>
    </row>
  </sheetData>
  <sheetProtection/>
  <mergeCells count="4">
    <mergeCell ref="A1:B1"/>
    <mergeCell ref="A3:D3"/>
    <mergeCell ref="A50:D50"/>
    <mergeCell ref="A48:D48"/>
  </mergeCells>
  <printOptions horizontalCentered="1"/>
  <pageMargins left="0.53" right="0.52" top="0.81" bottom="0.24" header="0.22" footer="0.24"/>
  <pageSetup horizontalDpi="300" verticalDpi="300" orientation="portrait" paperSize="9" scale="85" r:id="rId1"/>
  <headerFooter alignWithMargins="0">
    <oddHeader>&amp;L&amp;8 11. melléklet a ..../.....(.....) III.negyedéves tájékoztatóhoz</oddHeader>
  </headerFooter>
  <rowBreaks count="1" manualBreakCount="1">
    <brk id="46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875" style="0" bestFit="1" customWidth="1"/>
    <col min="2" max="2" width="42.875" style="0" customWidth="1"/>
    <col min="3" max="8" width="12.25390625" style="0" customWidth="1"/>
    <col min="9" max="9" width="10.75390625" style="0" customWidth="1"/>
  </cols>
  <sheetData>
    <row r="1" spans="2:8" ht="15.75">
      <c r="B1" s="13" t="s">
        <v>520</v>
      </c>
      <c r="C1" s="14"/>
      <c r="D1" s="14"/>
      <c r="E1" s="14"/>
      <c r="F1" s="14"/>
      <c r="G1" s="14"/>
      <c r="H1" s="14"/>
    </row>
    <row r="2" spans="2:8" ht="15.75">
      <c r="B2" s="14"/>
      <c r="C2" s="14"/>
      <c r="D2" s="14"/>
      <c r="E2" s="14"/>
      <c r="F2" s="14"/>
      <c r="G2" s="14"/>
      <c r="H2" s="14"/>
    </row>
    <row r="3" spans="2:9" ht="15.75">
      <c r="B3" s="15"/>
      <c r="C3" s="16"/>
      <c r="D3" s="16"/>
      <c r="E3" s="16"/>
      <c r="F3" s="16"/>
      <c r="G3" s="16"/>
      <c r="H3" s="17"/>
      <c r="I3" s="17"/>
    </row>
    <row r="4" spans="2:8" ht="13.5" thickBot="1">
      <c r="B4" s="18"/>
      <c r="C4" s="18"/>
      <c r="D4" s="18"/>
      <c r="E4" s="18"/>
      <c r="F4" s="18"/>
      <c r="G4" s="18"/>
      <c r="H4" s="18"/>
    </row>
    <row r="5" spans="1:8" ht="43.5" thickBot="1">
      <c r="A5" s="367" t="s">
        <v>2</v>
      </c>
      <c r="B5" s="371" t="s">
        <v>3</v>
      </c>
      <c r="C5" s="19" t="s">
        <v>16</v>
      </c>
      <c r="D5" s="20" t="s">
        <v>17</v>
      </c>
      <c r="E5" s="20" t="s">
        <v>18</v>
      </c>
      <c r="F5" s="20" t="s">
        <v>469</v>
      </c>
      <c r="G5" s="20" t="s">
        <v>470</v>
      </c>
      <c r="H5" s="21" t="s">
        <v>455</v>
      </c>
    </row>
    <row r="6" spans="1:8" ht="14.25">
      <c r="A6" s="379" t="s">
        <v>461</v>
      </c>
      <c r="B6" s="372" t="s">
        <v>5</v>
      </c>
      <c r="C6" s="373">
        <v>14</v>
      </c>
      <c r="D6" s="373">
        <v>14</v>
      </c>
      <c r="E6" s="373">
        <v>14</v>
      </c>
      <c r="F6" s="373">
        <v>14</v>
      </c>
      <c r="G6" s="373">
        <v>14</v>
      </c>
      <c r="H6" s="374">
        <v>14</v>
      </c>
    </row>
    <row r="7" spans="1:8" ht="14.25">
      <c r="A7" s="379" t="s">
        <v>462</v>
      </c>
      <c r="B7" s="375" t="s">
        <v>7</v>
      </c>
      <c r="C7" s="22">
        <v>17</v>
      </c>
      <c r="D7" s="22">
        <v>17</v>
      </c>
      <c r="E7" s="22">
        <v>17</v>
      </c>
      <c r="F7" s="22">
        <v>17</v>
      </c>
      <c r="G7" s="22">
        <v>17</v>
      </c>
      <c r="H7" s="23">
        <v>16</v>
      </c>
    </row>
    <row r="8" spans="1:8" ht="14.25">
      <c r="A8" s="379" t="s">
        <v>463</v>
      </c>
      <c r="B8" s="375" t="s">
        <v>9</v>
      </c>
      <c r="C8" s="22">
        <v>28</v>
      </c>
      <c r="D8" s="22">
        <v>28</v>
      </c>
      <c r="E8" s="22">
        <v>28</v>
      </c>
      <c r="F8" s="22">
        <v>28</v>
      </c>
      <c r="G8" s="22">
        <v>28</v>
      </c>
      <c r="H8" s="23">
        <v>28</v>
      </c>
    </row>
    <row r="9" spans="1:8" ht="14.25">
      <c r="A9" s="379" t="s">
        <v>464</v>
      </c>
      <c r="B9" s="375" t="s">
        <v>11</v>
      </c>
      <c r="C9" s="22">
        <v>48</v>
      </c>
      <c r="D9" s="22">
        <f>48-10</f>
        <v>38</v>
      </c>
      <c r="E9" s="22">
        <v>38</v>
      </c>
      <c r="F9" s="22">
        <v>38</v>
      </c>
      <c r="G9" s="22">
        <v>38</v>
      </c>
      <c r="H9" s="23">
        <v>38</v>
      </c>
    </row>
    <row r="10" spans="1:8" ht="14.25">
      <c r="A10" s="379" t="s">
        <v>465</v>
      </c>
      <c r="B10" s="375" t="s">
        <v>457</v>
      </c>
      <c r="C10" s="24">
        <f>71-1</f>
        <v>70</v>
      </c>
      <c r="D10" s="24">
        <f>68+3</f>
        <v>71</v>
      </c>
      <c r="E10" s="24">
        <f>SUM(E11+E15)</f>
        <v>71</v>
      </c>
      <c r="F10" s="24">
        <f>SUM(F11+F15)</f>
        <v>70</v>
      </c>
      <c r="G10" s="24">
        <f>SUM(G11+G15)</f>
        <v>75</v>
      </c>
      <c r="H10" s="380">
        <f>SUM(H11+H15)</f>
        <v>75</v>
      </c>
    </row>
    <row r="11" spans="1:8" ht="14.25">
      <c r="A11" s="379" t="s">
        <v>459</v>
      </c>
      <c r="B11" s="483" t="s">
        <v>460</v>
      </c>
      <c r="C11" s="484">
        <v>70</v>
      </c>
      <c r="D11" s="484">
        <v>71</v>
      </c>
      <c r="E11" s="484">
        <v>71</v>
      </c>
      <c r="F11" s="484">
        <v>70</v>
      </c>
      <c r="G11" s="485">
        <v>70</v>
      </c>
      <c r="H11" s="486">
        <v>70</v>
      </c>
    </row>
    <row r="12" spans="1:8" ht="14.25">
      <c r="A12" s="368" t="s">
        <v>466</v>
      </c>
      <c r="B12" s="375" t="s">
        <v>13</v>
      </c>
      <c r="C12" s="22">
        <v>76</v>
      </c>
      <c r="D12" s="22">
        <f>76+2</f>
        <v>78</v>
      </c>
      <c r="E12" s="22">
        <v>0</v>
      </c>
      <c r="F12" s="22">
        <v>0</v>
      </c>
      <c r="G12" s="24">
        <v>0</v>
      </c>
      <c r="H12" s="11">
        <v>0</v>
      </c>
    </row>
    <row r="13" spans="1:8" ht="14.25">
      <c r="A13" s="368" t="s">
        <v>467</v>
      </c>
      <c r="B13" s="375" t="s">
        <v>14</v>
      </c>
      <c r="C13" s="22">
        <v>119</v>
      </c>
      <c r="D13" s="22">
        <v>119</v>
      </c>
      <c r="E13" s="22">
        <v>0</v>
      </c>
      <c r="F13" s="22">
        <v>0</v>
      </c>
      <c r="G13" s="22">
        <v>0</v>
      </c>
      <c r="H13" s="11">
        <v>0</v>
      </c>
    </row>
    <row r="14" spans="1:8" ht="14.25">
      <c r="A14" s="368" t="s">
        <v>468</v>
      </c>
      <c r="B14" s="375" t="s">
        <v>15</v>
      </c>
      <c r="C14" s="22">
        <v>4</v>
      </c>
      <c r="D14" s="22">
        <v>4</v>
      </c>
      <c r="E14" s="22">
        <v>4</v>
      </c>
      <c r="F14" s="22">
        <v>4</v>
      </c>
      <c r="G14" s="22">
        <v>4</v>
      </c>
      <c r="H14" s="11">
        <v>4</v>
      </c>
    </row>
    <row r="15" spans="1:8" ht="14.25">
      <c r="A15" s="379" t="s">
        <v>458</v>
      </c>
      <c r="B15" s="483" t="s">
        <v>456</v>
      </c>
      <c r="C15" s="484">
        <v>0</v>
      </c>
      <c r="D15" s="484">
        <v>0</v>
      </c>
      <c r="E15" s="484">
        <v>0</v>
      </c>
      <c r="F15" s="484">
        <v>0</v>
      </c>
      <c r="G15" s="487">
        <v>5</v>
      </c>
      <c r="H15" s="486">
        <v>5</v>
      </c>
    </row>
    <row r="16" spans="1:8" ht="15" thickBot="1">
      <c r="A16" s="369"/>
      <c r="B16" s="376" t="s">
        <v>19</v>
      </c>
      <c r="C16" s="25">
        <v>328</v>
      </c>
      <c r="D16" s="25">
        <v>328</v>
      </c>
      <c r="E16" s="25">
        <v>328</v>
      </c>
      <c r="F16" s="25">
        <v>328</v>
      </c>
      <c r="G16" s="25">
        <v>328</v>
      </c>
      <c r="H16" s="26">
        <v>270</v>
      </c>
    </row>
    <row r="17" spans="1:8" ht="15" thickBot="1">
      <c r="A17" s="370"/>
      <c r="B17" s="377" t="s">
        <v>20</v>
      </c>
      <c r="C17" s="378">
        <f>SUM(C6:C16)</f>
        <v>774</v>
      </c>
      <c r="D17" s="378">
        <f>SUM(D6:D16)</f>
        <v>768</v>
      </c>
      <c r="E17" s="378">
        <f>SUM(E6:E10,E14:E16)</f>
        <v>500</v>
      </c>
      <c r="F17" s="378">
        <f>SUM(F6:F10,F14:F16)</f>
        <v>499</v>
      </c>
      <c r="G17" s="378">
        <f>SUM(G6:G10,G14,G16)</f>
        <v>504</v>
      </c>
      <c r="H17" s="378">
        <f>SUM(H6:H10,H14,H16)</f>
        <v>445</v>
      </c>
    </row>
    <row r="18" spans="2:7" ht="12.75">
      <c r="B18" s="18"/>
      <c r="C18" s="18"/>
      <c r="D18" s="18"/>
      <c r="E18" s="18"/>
      <c r="F18" s="18"/>
      <c r="G18" s="18"/>
    </row>
    <row r="19" spans="2:8" ht="12.75">
      <c r="B19" s="18"/>
      <c r="C19" s="18"/>
      <c r="D19" s="18"/>
      <c r="E19" s="18"/>
      <c r="F19" s="18"/>
      <c r="G19" s="18"/>
      <c r="H19" s="18"/>
    </row>
    <row r="20" spans="3:7" ht="12.75">
      <c r="C20" s="27"/>
      <c r="D20" s="27"/>
      <c r="E20" s="27"/>
      <c r="F20" s="27"/>
      <c r="G20" s="27"/>
    </row>
    <row r="21" spans="2:7" ht="12.75">
      <c r="B21" s="18"/>
      <c r="C21" s="18"/>
      <c r="D21" s="18"/>
      <c r="E21" s="18"/>
      <c r="F21" s="18"/>
      <c r="G21" s="18"/>
    </row>
  </sheetData>
  <sheetProtection/>
  <printOptions/>
  <pageMargins left="0.57" right="0.22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&amp;L 2. melléklet a .../...(....) III.negyedéves tájékoztatóhoz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2" ySplit="4" topLeftCell="C56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B71" sqref="B71"/>
    </sheetView>
  </sheetViews>
  <sheetFormatPr defaultColWidth="9.00390625" defaultRowHeight="12.75"/>
  <cols>
    <col min="1" max="1" width="3.875" style="30" customWidth="1"/>
    <col min="2" max="2" width="47.125" style="30" customWidth="1"/>
    <col min="3" max="3" width="10.00390625" style="30" customWidth="1"/>
    <col min="4" max="5" width="9.75390625" style="30" customWidth="1"/>
    <col min="6" max="6" width="9.625" style="29" customWidth="1"/>
    <col min="7" max="7" width="5.375" style="28" customWidth="1"/>
    <col min="8" max="8" width="10.875" style="29" customWidth="1"/>
    <col min="9" max="10" width="10.75390625" style="30" customWidth="1"/>
    <col min="11" max="16384" width="9.125" style="30" customWidth="1"/>
  </cols>
  <sheetData>
    <row r="1" spans="1:6" ht="15">
      <c r="A1" s="490" t="s">
        <v>21</v>
      </c>
      <c r="B1" s="490"/>
      <c r="C1" s="490"/>
      <c r="D1" s="490"/>
      <c r="E1" s="490"/>
      <c r="F1" s="490"/>
    </row>
    <row r="2" ht="12.75" customHeight="1" thickBot="1">
      <c r="F2" s="31"/>
    </row>
    <row r="3" spans="1:7" ht="12" customHeight="1" thickBot="1">
      <c r="A3" s="389"/>
      <c r="B3" s="382" t="s">
        <v>0</v>
      </c>
      <c r="C3" s="32" t="s">
        <v>1</v>
      </c>
      <c r="D3" s="32" t="s">
        <v>22</v>
      </c>
      <c r="E3" s="32" t="s">
        <v>23</v>
      </c>
      <c r="F3" s="33" t="s">
        <v>24</v>
      </c>
      <c r="G3" s="34" t="s">
        <v>25</v>
      </c>
    </row>
    <row r="4" spans="1:8" s="38" customFormat="1" ht="23.25" thickBot="1">
      <c r="A4" s="390"/>
      <c r="B4" s="453" t="s">
        <v>26</v>
      </c>
      <c r="C4" s="35" t="s">
        <v>27</v>
      </c>
      <c r="D4" s="35" t="s">
        <v>28</v>
      </c>
      <c r="E4" s="35" t="s">
        <v>486</v>
      </c>
      <c r="F4" s="36" t="s">
        <v>453</v>
      </c>
      <c r="G4" s="454" t="s">
        <v>29</v>
      </c>
      <c r="H4" s="37"/>
    </row>
    <row r="5" spans="1:7" ht="12" customHeight="1">
      <c r="A5" s="448" t="s">
        <v>4</v>
      </c>
      <c r="B5" s="450" t="s">
        <v>30</v>
      </c>
      <c r="C5" s="39">
        <f>C6+C7+C8</f>
        <v>1715290</v>
      </c>
      <c r="D5" s="39">
        <f>D6+D7+D8</f>
        <v>1232158</v>
      </c>
      <c r="E5" s="39">
        <f>E6+E7+E8</f>
        <v>1232742</v>
      </c>
      <c r="F5" s="39">
        <f>F6+F7+F8</f>
        <v>1363517</v>
      </c>
      <c r="G5" s="40">
        <f aca="true" t="shared" si="0" ref="G5:G12">F5/E5*100</f>
        <v>110.60846470713255</v>
      </c>
    </row>
    <row r="6" spans="1:7" ht="12" customHeight="1">
      <c r="A6" s="448" t="s">
        <v>6</v>
      </c>
      <c r="B6" s="451" t="s">
        <v>31</v>
      </c>
      <c r="C6" s="41">
        <v>369512</v>
      </c>
      <c r="D6" s="41">
        <v>207124</v>
      </c>
      <c r="E6" s="41">
        <v>207708</v>
      </c>
      <c r="F6" s="41">
        <f>260021-10827-1164</f>
        <v>248030</v>
      </c>
      <c r="G6" s="42">
        <f t="shared" si="0"/>
        <v>119.4128295491748</v>
      </c>
    </row>
    <row r="7" spans="1:7" ht="12" customHeight="1">
      <c r="A7" s="448" t="s">
        <v>8</v>
      </c>
      <c r="B7" s="451" t="s">
        <v>32</v>
      </c>
      <c r="C7" s="41">
        <v>58777</v>
      </c>
      <c r="D7" s="41">
        <v>2864</v>
      </c>
      <c r="E7" s="41">
        <v>2864</v>
      </c>
      <c r="F7" s="41">
        <v>3124</v>
      </c>
      <c r="G7" s="42">
        <f t="shared" si="0"/>
        <v>109.07821229050279</v>
      </c>
    </row>
    <row r="8" spans="1:7" ht="12" customHeight="1">
      <c r="A8" s="448" t="s">
        <v>10</v>
      </c>
      <c r="B8" s="451" t="s">
        <v>33</v>
      </c>
      <c r="C8" s="41">
        <f>SUM(C9:C16)</f>
        <v>1287001</v>
      </c>
      <c r="D8" s="41">
        <f>SUM(D9:D16)</f>
        <v>1022170</v>
      </c>
      <c r="E8" s="41">
        <f>SUM(E9:E16)</f>
        <v>1022170</v>
      </c>
      <c r="F8" s="41">
        <f>SUM(F9:F16)</f>
        <v>1112363</v>
      </c>
      <c r="G8" s="42">
        <f t="shared" si="0"/>
        <v>108.82367903577683</v>
      </c>
    </row>
    <row r="9" spans="1:7" ht="12" customHeight="1">
      <c r="A9" s="448" t="s">
        <v>12</v>
      </c>
      <c r="B9" s="43" t="s">
        <v>34</v>
      </c>
      <c r="C9" s="44">
        <v>854262</v>
      </c>
      <c r="D9" s="44">
        <v>900000</v>
      </c>
      <c r="E9" s="44">
        <v>900000</v>
      </c>
      <c r="F9" s="44">
        <v>976874</v>
      </c>
      <c r="G9" s="45">
        <f t="shared" si="0"/>
        <v>108.54155555555556</v>
      </c>
    </row>
    <row r="10" spans="1:7" ht="12" customHeight="1">
      <c r="A10" s="448" t="s">
        <v>35</v>
      </c>
      <c r="B10" s="43" t="s">
        <v>36</v>
      </c>
      <c r="C10" s="44">
        <v>51914</v>
      </c>
      <c r="D10" s="44">
        <v>49500</v>
      </c>
      <c r="E10" s="44">
        <v>49500</v>
      </c>
      <c r="F10" s="44">
        <v>50199</v>
      </c>
      <c r="G10" s="45">
        <f t="shared" si="0"/>
        <v>101.41212121212122</v>
      </c>
    </row>
    <row r="11" spans="1:7" ht="12" customHeight="1">
      <c r="A11" s="448" t="s">
        <v>37</v>
      </c>
      <c r="B11" s="43" t="s">
        <v>38</v>
      </c>
      <c r="C11" s="44">
        <v>2062</v>
      </c>
      <c r="D11" s="44">
        <v>2000</v>
      </c>
      <c r="E11" s="44">
        <v>2000</v>
      </c>
      <c r="F11" s="44">
        <v>1866</v>
      </c>
      <c r="G11" s="45">
        <f t="shared" si="0"/>
        <v>93.30000000000001</v>
      </c>
    </row>
    <row r="12" spans="1:7" ht="12" customHeight="1">
      <c r="A12" s="448" t="s">
        <v>39</v>
      </c>
      <c r="B12" s="43" t="s">
        <v>40</v>
      </c>
      <c r="C12" s="44">
        <v>118014</v>
      </c>
      <c r="D12" s="44">
        <v>46400</v>
      </c>
      <c r="E12" s="44">
        <v>46400</v>
      </c>
      <c r="F12" s="44">
        <v>61592</v>
      </c>
      <c r="G12" s="45">
        <f t="shared" si="0"/>
        <v>132.74137931034483</v>
      </c>
    </row>
    <row r="13" spans="1:7" ht="12" customHeight="1">
      <c r="A13" s="448" t="s">
        <v>41</v>
      </c>
      <c r="B13" s="43" t="s">
        <v>42</v>
      </c>
      <c r="C13" s="44">
        <v>228094</v>
      </c>
      <c r="D13" s="44"/>
      <c r="E13" s="44"/>
      <c r="F13" s="44"/>
      <c r="G13" s="45"/>
    </row>
    <row r="14" spans="1:7" ht="12" customHeight="1">
      <c r="A14" s="448" t="s">
        <v>43</v>
      </c>
      <c r="B14" s="43" t="s">
        <v>44</v>
      </c>
      <c r="C14" s="44">
        <v>20486</v>
      </c>
      <c r="D14" s="44">
        <v>9790</v>
      </c>
      <c r="E14" s="44">
        <v>9790</v>
      </c>
      <c r="F14" s="44">
        <f>788+10827</f>
        <v>11615</v>
      </c>
      <c r="G14" s="45">
        <f>F14/E14*100</f>
        <v>118.6414708886619</v>
      </c>
    </row>
    <row r="15" spans="1:7" ht="12" customHeight="1">
      <c r="A15" s="448" t="s">
        <v>45</v>
      </c>
      <c r="B15" s="43" t="s">
        <v>46</v>
      </c>
      <c r="C15" s="44">
        <f>12081+88</f>
        <v>12169</v>
      </c>
      <c r="D15" s="44">
        <v>14480</v>
      </c>
      <c r="E15" s="44">
        <v>14480</v>
      </c>
      <c r="F15" s="44">
        <v>10217</v>
      </c>
      <c r="G15" s="45">
        <f>F15/E15*100</f>
        <v>70.55939226519337</v>
      </c>
    </row>
    <row r="16" spans="1:7" ht="9" customHeight="1">
      <c r="A16" s="449" t="s">
        <v>47</v>
      </c>
      <c r="B16" s="43"/>
      <c r="C16" s="44"/>
      <c r="D16" s="44"/>
      <c r="E16" s="44"/>
      <c r="F16" s="44"/>
      <c r="G16" s="45"/>
    </row>
    <row r="17" spans="1:7" ht="12" customHeight="1">
      <c r="A17" s="448" t="s">
        <v>48</v>
      </c>
      <c r="B17" s="451" t="s">
        <v>49</v>
      </c>
      <c r="C17" s="41">
        <f>SUM(C18:C27)</f>
        <v>2446188</v>
      </c>
      <c r="D17" s="41">
        <f>SUM(D18:D27)</f>
        <v>774719</v>
      </c>
      <c r="E17" s="41">
        <f>SUM(E18:E26)</f>
        <v>924045</v>
      </c>
      <c r="F17" s="41">
        <f>SUM(F18:F27)</f>
        <v>1164803</v>
      </c>
      <c r="G17" s="42">
        <f>F17/E17*100</f>
        <v>126.05479170386724</v>
      </c>
    </row>
    <row r="18" spans="1:7" ht="12" customHeight="1">
      <c r="A18" s="448" t="s">
        <v>50</v>
      </c>
      <c r="B18" s="43" t="s">
        <v>51</v>
      </c>
      <c r="C18" s="44">
        <v>1399645</v>
      </c>
      <c r="D18" s="44">
        <v>771387</v>
      </c>
      <c r="E18" s="44">
        <v>775928</v>
      </c>
      <c r="F18" s="44">
        <v>574988</v>
      </c>
      <c r="G18" s="45">
        <f>F18/E18*100</f>
        <v>74.10326731346207</v>
      </c>
    </row>
    <row r="19" spans="1:7" ht="12" customHeight="1">
      <c r="A19" s="448" t="s">
        <v>52</v>
      </c>
      <c r="B19" s="43" t="s">
        <v>53</v>
      </c>
      <c r="C19" s="44">
        <v>148924</v>
      </c>
      <c r="D19" s="44"/>
      <c r="E19" s="44"/>
      <c r="F19" s="44"/>
      <c r="G19" s="45"/>
    </row>
    <row r="20" spans="1:7" ht="12" customHeight="1">
      <c r="A20" s="448" t="s">
        <v>54</v>
      </c>
      <c r="B20" s="43" t="s">
        <v>55</v>
      </c>
      <c r="C20" s="44">
        <v>55000</v>
      </c>
      <c r="D20" s="44"/>
      <c r="E20" s="44"/>
      <c r="F20" s="44"/>
      <c r="G20" s="45"/>
    </row>
    <row r="21" spans="1:7" ht="12" customHeight="1">
      <c r="A21" s="448" t="s">
        <v>56</v>
      </c>
      <c r="B21" s="43" t="s">
        <v>57</v>
      </c>
      <c r="C21" s="44">
        <v>252403</v>
      </c>
      <c r="D21" s="44"/>
      <c r="E21" s="44">
        <v>123877</v>
      </c>
      <c r="F21" s="44">
        <v>164880</v>
      </c>
      <c r="G21" s="45">
        <f>F21/E21*100</f>
        <v>133.09976831857406</v>
      </c>
    </row>
    <row r="22" spans="1:7" ht="12" customHeight="1">
      <c r="A22" s="448" t="s">
        <v>58</v>
      </c>
      <c r="B22" s="43" t="s">
        <v>59</v>
      </c>
      <c r="C22" s="47">
        <v>140749</v>
      </c>
      <c r="D22" s="47">
        <v>3332</v>
      </c>
      <c r="E22" s="47">
        <f>3332+5808+14647</f>
        <v>23787</v>
      </c>
      <c r="F22" s="47">
        <v>31676</v>
      </c>
      <c r="G22" s="45">
        <f>F22/E22*100</f>
        <v>133.16517425484508</v>
      </c>
    </row>
    <row r="23" spans="1:7" ht="12" customHeight="1">
      <c r="A23" s="448" t="s">
        <v>60</v>
      </c>
      <c r="B23" s="43" t="s">
        <v>471</v>
      </c>
      <c r="C23" s="47"/>
      <c r="D23" s="47"/>
      <c r="E23" s="46"/>
      <c r="F23" s="47"/>
      <c r="G23" s="45"/>
    </row>
    <row r="24" spans="1:7" ht="12" customHeight="1">
      <c r="A24" s="448" t="s">
        <v>62</v>
      </c>
      <c r="B24" s="43" t="s">
        <v>61</v>
      </c>
      <c r="C24" s="44"/>
      <c r="D24" s="44"/>
      <c r="E24" s="44"/>
      <c r="F24" s="44">
        <v>304867</v>
      </c>
      <c r="G24" s="45"/>
    </row>
    <row r="25" spans="1:7" ht="12" customHeight="1">
      <c r="A25" s="448" t="s">
        <v>64</v>
      </c>
      <c r="B25" s="43" t="s">
        <v>63</v>
      </c>
      <c r="C25" s="46"/>
      <c r="D25" s="46"/>
      <c r="E25" s="46"/>
      <c r="F25" s="44">
        <v>87709</v>
      </c>
      <c r="G25" s="45"/>
    </row>
    <row r="26" spans="1:7" ht="12" customHeight="1">
      <c r="A26" s="448" t="s">
        <v>66</v>
      </c>
      <c r="B26" s="43" t="s">
        <v>65</v>
      </c>
      <c r="C26" s="44">
        <v>102904</v>
      </c>
      <c r="D26" s="44"/>
      <c r="E26" s="44">
        <v>453</v>
      </c>
      <c r="F26" s="44">
        <v>683</v>
      </c>
      <c r="G26" s="45">
        <f>F26/E26*100</f>
        <v>150.77262693156732</v>
      </c>
    </row>
    <row r="27" spans="1:7" ht="12" customHeight="1">
      <c r="A27" s="448" t="s">
        <v>68</v>
      </c>
      <c r="B27" s="43" t="s">
        <v>67</v>
      </c>
      <c r="C27" s="44">
        <v>346563</v>
      </c>
      <c r="D27" s="44"/>
      <c r="E27" s="46"/>
      <c r="F27" s="44"/>
      <c r="G27" s="45"/>
    </row>
    <row r="28" spans="1:7" ht="12" customHeight="1">
      <c r="A28" s="448" t="s">
        <v>70</v>
      </c>
      <c r="B28" s="451" t="s">
        <v>69</v>
      </c>
      <c r="C28" s="41">
        <f>SUM(C29:C32)</f>
        <v>300203</v>
      </c>
      <c r="D28" s="41">
        <f>SUM(D29:D32)</f>
        <v>95860</v>
      </c>
      <c r="E28" s="41">
        <f>SUM(E29:E32)</f>
        <v>95860</v>
      </c>
      <c r="F28" s="41">
        <f>SUM(F29:F32)</f>
        <v>54763</v>
      </c>
      <c r="G28" s="42">
        <f>F28/E28*100</f>
        <v>57.12810348424786</v>
      </c>
    </row>
    <row r="29" spans="1:7" ht="12" customHeight="1">
      <c r="A29" s="448" t="s">
        <v>72</v>
      </c>
      <c r="B29" s="43" t="s">
        <v>71</v>
      </c>
      <c r="C29" s="44">
        <f>5574+54727</f>
        <v>60301</v>
      </c>
      <c r="D29" s="44">
        <v>19000</v>
      </c>
      <c r="E29" s="44">
        <v>19000</v>
      </c>
      <c r="F29" s="44">
        <v>9714</v>
      </c>
      <c r="G29" s="45">
        <f>F29/E29*100</f>
        <v>51.126315789473686</v>
      </c>
    </row>
    <row r="30" spans="1:7" ht="12" customHeight="1">
      <c r="A30" s="448" t="s">
        <v>74</v>
      </c>
      <c r="B30" s="43" t="s">
        <v>73</v>
      </c>
      <c r="C30" s="44">
        <v>5793</v>
      </c>
      <c r="D30" s="44">
        <v>6860</v>
      </c>
      <c r="E30" s="44">
        <v>6860</v>
      </c>
      <c r="F30" s="44"/>
      <c r="G30" s="45">
        <f>F30/E30*100</f>
        <v>0</v>
      </c>
    </row>
    <row r="31" spans="1:7" ht="12" customHeight="1">
      <c r="A31" s="448" t="s">
        <v>76</v>
      </c>
      <c r="B31" s="43" t="s">
        <v>75</v>
      </c>
      <c r="C31" s="44"/>
      <c r="D31" s="44"/>
      <c r="E31" s="44"/>
      <c r="F31" s="44"/>
      <c r="G31" s="45"/>
    </row>
    <row r="32" spans="1:7" ht="12" customHeight="1">
      <c r="A32" s="448" t="s">
        <v>78</v>
      </c>
      <c r="B32" s="43" t="s">
        <v>77</v>
      </c>
      <c r="C32" s="44">
        <v>234109</v>
      </c>
      <c r="D32" s="44">
        <v>70000</v>
      </c>
      <c r="E32" s="44">
        <v>70000</v>
      </c>
      <c r="F32" s="44">
        <f>43885+1164</f>
        <v>45049</v>
      </c>
      <c r="G32" s="45">
        <f>F32/E32*100</f>
        <v>64.35571428571428</v>
      </c>
    </row>
    <row r="33" spans="1:8" s="49" customFormat="1" ht="12" customHeight="1">
      <c r="A33" s="448" t="s">
        <v>80</v>
      </c>
      <c r="B33" s="451" t="s">
        <v>79</v>
      </c>
      <c r="C33" s="41">
        <f>C34+C36</f>
        <v>1927879</v>
      </c>
      <c r="D33" s="41">
        <f>D34+D36</f>
        <v>968784</v>
      </c>
      <c r="E33" s="41">
        <f>E34+E36</f>
        <v>780257</v>
      </c>
      <c r="F33" s="41">
        <f>F34+F36</f>
        <v>455662</v>
      </c>
      <c r="G33" s="42">
        <f>F33/E33*100</f>
        <v>58.3989634184634</v>
      </c>
      <c r="H33" s="48"/>
    </row>
    <row r="34" spans="1:7" ht="12" customHeight="1">
      <c r="A34" s="448" t="s">
        <v>82</v>
      </c>
      <c r="B34" s="43" t="s">
        <v>81</v>
      </c>
      <c r="C34" s="44">
        <f>1720942+13279</f>
        <v>1734221</v>
      </c>
      <c r="D34" s="44">
        <v>965284</v>
      </c>
      <c r="E34" s="44">
        <v>764384</v>
      </c>
      <c r="F34" s="44">
        <f>452005-12373</f>
        <v>439632</v>
      </c>
      <c r="G34" s="45">
        <f>F34/E34*100</f>
        <v>57.51454766190815</v>
      </c>
    </row>
    <row r="35" spans="1:7" ht="12" customHeight="1">
      <c r="A35" s="448" t="s">
        <v>83</v>
      </c>
      <c r="B35" s="451" t="s">
        <v>451</v>
      </c>
      <c r="C35" s="44">
        <v>1316762</v>
      </c>
      <c r="D35" s="44">
        <v>124500</v>
      </c>
      <c r="E35" s="44">
        <v>124500</v>
      </c>
      <c r="F35" s="44">
        <v>101626</v>
      </c>
      <c r="G35" s="45">
        <f>F35/E35*100</f>
        <v>81.62730923694778</v>
      </c>
    </row>
    <row r="36" spans="1:7" ht="12" customHeight="1">
      <c r="A36" s="448" t="s">
        <v>84</v>
      </c>
      <c r="B36" s="451" t="s">
        <v>452</v>
      </c>
      <c r="C36" s="44">
        <v>193658</v>
      </c>
      <c r="D36" s="44">
        <v>3500</v>
      </c>
      <c r="E36" s="44">
        <v>15873</v>
      </c>
      <c r="F36" s="44">
        <f>3657+12373</f>
        <v>16030</v>
      </c>
      <c r="G36" s="45">
        <f>F36/E36*100</f>
        <v>100.98910098910099</v>
      </c>
    </row>
    <row r="37" spans="1:7" ht="12" customHeight="1">
      <c r="A37" s="448" t="s">
        <v>85</v>
      </c>
      <c r="B37" s="451" t="s">
        <v>451</v>
      </c>
      <c r="C37" s="44">
        <v>100000</v>
      </c>
      <c r="D37" s="44"/>
      <c r="E37" s="44"/>
      <c r="F37" s="44"/>
      <c r="G37" s="45"/>
    </row>
    <row r="38" spans="1:7" ht="12" customHeight="1">
      <c r="A38" s="448" t="s">
        <v>87</v>
      </c>
      <c r="B38" s="451" t="s">
        <v>86</v>
      </c>
      <c r="C38" s="41">
        <f>C39+C40</f>
        <v>504909</v>
      </c>
      <c r="D38" s="41">
        <f>D39+D40</f>
        <v>1612936</v>
      </c>
      <c r="E38" s="41">
        <f>E39+E40</f>
        <v>1621436</v>
      </c>
      <c r="F38" s="41">
        <f>F39+F40</f>
        <v>635694</v>
      </c>
      <c r="G38" s="42">
        <f>F38/E38*100</f>
        <v>39.205617736376894</v>
      </c>
    </row>
    <row r="39" spans="1:7" ht="12" customHeight="1">
      <c r="A39" s="448" t="s">
        <v>89</v>
      </c>
      <c r="B39" s="43" t="s">
        <v>88</v>
      </c>
      <c r="C39" s="44">
        <v>51235</v>
      </c>
      <c r="D39" s="44"/>
      <c r="E39" s="44">
        <v>8500</v>
      </c>
      <c r="F39" s="44">
        <v>59099</v>
      </c>
      <c r="G39" s="45">
        <f>F39/E39*100</f>
        <v>695.2823529411764</v>
      </c>
    </row>
    <row r="40" spans="1:7" ht="12" customHeight="1">
      <c r="A40" s="448" t="s">
        <v>91</v>
      </c>
      <c r="B40" s="43" t="s">
        <v>90</v>
      </c>
      <c r="C40" s="44">
        <v>453674</v>
      </c>
      <c r="D40" s="44">
        <v>1612936</v>
      </c>
      <c r="E40" s="44">
        <v>1612936</v>
      </c>
      <c r="F40" s="44">
        <v>576595</v>
      </c>
      <c r="G40" s="45">
        <f>F40/E40*100</f>
        <v>35.7481635973157</v>
      </c>
    </row>
    <row r="41" spans="1:7" ht="12" customHeight="1">
      <c r="A41" s="448" t="s">
        <v>93</v>
      </c>
      <c r="B41" s="451" t="s">
        <v>92</v>
      </c>
      <c r="C41" s="41">
        <v>26682</v>
      </c>
      <c r="D41" s="41">
        <v>6500</v>
      </c>
      <c r="E41" s="41">
        <v>6500</v>
      </c>
      <c r="F41" s="41">
        <f>929+3048</f>
        <v>3977</v>
      </c>
      <c r="G41" s="42">
        <f>F41/E41*100</f>
        <v>61.184615384615384</v>
      </c>
    </row>
    <row r="42" spans="1:7" ht="12" customHeight="1" thickBot="1">
      <c r="A42" s="448" t="s">
        <v>94</v>
      </c>
      <c r="B42" s="452"/>
      <c r="C42" s="50"/>
      <c r="D42" s="50"/>
      <c r="E42" s="50"/>
      <c r="F42" s="50"/>
      <c r="G42" s="69"/>
    </row>
    <row r="43" spans="1:8" s="53" customFormat="1" ht="18.75" customHeight="1" thickBot="1">
      <c r="A43" s="457" t="s">
        <v>96</v>
      </c>
      <c r="B43" s="455" t="s">
        <v>95</v>
      </c>
      <c r="C43" s="70">
        <f>SUM(C5+C17+C28+C33+C38+C41)</f>
        <v>6921151</v>
      </c>
      <c r="D43" s="70">
        <f>SUM(D5+D17+D28+D33+D38+D41)</f>
        <v>4690957</v>
      </c>
      <c r="E43" s="70">
        <f>SUM(E5+E17+E28+E33+E38+E41)</f>
        <v>4660840</v>
      </c>
      <c r="F43" s="70">
        <f>SUM(F5+F17+F28+F33+F38+F41)</f>
        <v>3678416</v>
      </c>
      <c r="G43" s="71">
        <f>F43/E43*100</f>
        <v>78.92173942894414</v>
      </c>
      <c r="H43" s="52"/>
    </row>
    <row r="44" spans="1:7" ht="12" customHeight="1">
      <c r="A44" s="448" t="s">
        <v>98</v>
      </c>
      <c r="B44" s="450" t="s">
        <v>97</v>
      </c>
      <c r="C44" s="39">
        <f>SUM(C45:C46)</f>
        <v>1269575</v>
      </c>
      <c r="D44" s="39">
        <f>SUM(D45:D46)</f>
        <v>1200000</v>
      </c>
      <c r="E44" s="39">
        <f>SUM(E45:E46)</f>
        <v>1740450</v>
      </c>
      <c r="F44" s="39">
        <f>SUM(F45:F46)</f>
        <v>182956</v>
      </c>
      <c r="G44" s="40">
        <f>F44/E44*100</f>
        <v>10.511994024533886</v>
      </c>
    </row>
    <row r="45" spans="1:7" ht="12" customHeight="1">
      <c r="A45" s="448" t="s">
        <v>100</v>
      </c>
      <c r="B45" s="43" t="s">
        <v>99</v>
      </c>
      <c r="C45" s="44">
        <f>1055399+1164</f>
        <v>1056563</v>
      </c>
      <c r="D45" s="44">
        <v>200000</v>
      </c>
      <c r="E45" s="44">
        <v>412535</v>
      </c>
      <c r="F45" s="44">
        <v>32846</v>
      </c>
      <c r="G45" s="45">
        <f>F45/E45*100</f>
        <v>7.961991103785134</v>
      </c>
    </row>
    <row r="46" spans="1:7" ht="12" customHeight="1">
      <c r="A46" s="448" t="s">
        <v>102</v>
      </c>
      <c r="B46" s="43" t="s">
        <v>101</v>
      </c>
      <c r="C46" s="44">
        <v>213012</v>
      </c>
      <c r="D46" s="44">
        <v>1000000</v>
      </c>
      <c r="E46" s="44">
        <v>1327915</v>
      </c>
      <c r="F46" s="44">
        <v>150110</v>
      </c>
      <c r="G46" s="45">
        <f>F46/E46*100</f>
        <v>11.304187391512258</v>
      </c>
    </row>
    <row r="47" spans="1:7" ht="12" customHeight="1">
      <c r="A47" s="448" t="s">
        <v>104</v>
      </c>
      <c r="B47" s="43" t="s">
        <v>103</v>
      </c>
      <c r="C47" s="44"/>
      <c r="D47" s="44"/>
      <c r="E47" s="44"/>
      <c r="F47" s="44"/>
      <c r="G47" s="45"/>
    </row>
    <row r="48" spans="1:7" ht="10.5" customHeight="1">
      <c r="A48" s="448" t="s">
        <v>105</v>
      </c>
      <c r="B48" s="43"/>
      <c r="C48" s="44"/>
      <c r="D48" s="44"/>
      <c r="E48" s="44"/>
      <c r="F48" s="44"/>
      <c r="G48" s="45"/>
    </row>
    <row r="49" spans="1:7" ht="12" customHeight="1">
      <c r="A49" s="448" t="s">
        <v>107</v>
      </c>
      <c r="B49" s="451" t="s">
        <v>106</v>
      </c>
      <c r="C49" s="41"/>
      <c r="D49" s="41">
        <f>SUM(D50:D51)</f>
        <v>0</v>
      </c>
      <c r="E49" s="41">
        <f>SUM(E50:E51)</f>
        <v>0</v>
      </c>
      <c r="F49" s="41">
        <f>SUM(F50:F51)</f>
        <v>0</v>
      </c>
      <c r="G49" s="42"/>
    </row>
    <row r="50" spans="1:7" ht="12" customHeight="1">
      <c r="A50" s="448" t="s">
        <v>109</v>
      </c>
      <c r="B50" s="43" t="s">
        <v>108</v>
      </c>
      <c r="C50" s="44"/>
      <c r="D50" s="44"/>
      <c r="E50" s="44"/>
      <c r="F50" s="44"/>
      <c r="G50" s="45"/>
    </row>
    <row r="51" spans="1:7" ht="12" customHeight="1">
      <c r="A51" s="448" t="s">
        <v>111</v>
      </c>
      <c r="B51" s="43" t="s">
        <v>110</v>
      </c>
      <c r="C51" s="44"/>
      <c r="D51" s="44"/>
      <c r="E51" s="44"/>
      <c r="F51" s="44"/>
      <c r="G51" s="45"/>
    </row>
    <row r="52" spans="1:7" ht="12" customHeight="1">
      <c r="A52" s="448" t="s">
        <v>113</v>
      </c>
      <c r="B52" s="451" t="s">
        <v>112</v>
      </c>
      <c r="C52" s="41"/>
      <c r="D52" s="41"/>
      <c r="E52" s="41"/>
      <c r="F52" s="41"/>
      <c r="G52" s="45"/>
    </row>
    <row r="53" spans="1:7" ht="12" customHeight="1">
      <c r="A53" s="448" t="s">
        <v>115</v>
      </c>
      <c r="B53" s="451" t="s">
        <v>114</v>
      </c>
      <c r="C53" s="41">
        <f>SUM(C54:C56)</f>
        <v>149725</v>
      </c>
      <c r="D53" s="41">
        <f>SUM(D54:D56)</f>
        <v>0</v>
      </c>
      <c r="E53" s="41">
        <f>SUM(E54:E56)</f>
        <v>0</v>
      </c>
      <c r="F53" s="41">
        <f>SUM(F54:F56)</f>
        <v>1298969</v>
      </c>
      <c r="G53" s="42"/>
    </row>
    <row r="54" spans="1:7" ht="12" customHeight="1">
      <c r="A54" s="448" t="s">
        <v>117</v>
      </c>
      <c r="B54" s="43" t="s">
        <v>116</v>
      </c>
      <c r="C54" s="44"/>
      <c r="D54" s="44"/>
      <c r="E54" s="44"/>
      <c r="F54" s="44">
        <v>458969</v>
      </c>
      <c r="G54" s="45"/>
    </row>
    <row r="55" spans="1:7" ht="12" customHeight="1">
      <c r="A55" s="448" t="s">
        <v>119</v>
      </c>
      <c r="B55" s="43" t="s">
        <v>118</v>
      </c>
      <c r="C55" s="44">
        <v>149725</v>
      </c>
      <c r="D55" s="44"/>
      <c r="E55" s="44"/>
      <c r="F55" s="44">
        <v>840000</v>
      </c>
      <c r="G55" s="45"/>
    </row>
    <row r="56" spans="1:7" ht="12" customHeight="1">
      <c r="A56" s="448" t="s">
        <v>121</v>
      </c>
      <c r="B56" s="43" t="s">
        <v>120</v>
      </c>
      <c r="C56" s="44"/>
      <c r="D56" s="44"/>
      <c r="E56" s="44"/>
      <c r="F56" s="44"/>
      <c r="G56" s="45"/>
    </row>
    <row r="57" spans="1:7" ht="12" customHeight="1">
      <c r="A57" s="448" t="s">
        <v>123</v>
      </c>
      <c r="B57" s="451" t="s">
        <v>122</v>
      </c>
      <c r="C57" s="41">
        <v>-196108</v>
      </c>
      <c r="D57" s="41"/>
      <c r="E57" s="41"/>
      <c r="F57" s="41">
        <v>35270</v>
      </c>
      <c r="G57" s="42"/>
    </row>
    <row r="58" spans="1:7" ht="11.25" customHeight="1" thickBot="1">
      <c r="A58" s="448" t="s">
        <v>124</v>
      </c>
      <c r="B58" s="452"/>
      <c r="C58" s="54"/>
      <c r="D58" s="54"/>
      <c r="E58" s="54"/>
      <c r="F58" s="54"/>
      <c r="G58" s="69"/>
    </row>
    <row r="59" spans="1:7" ht="18.75" customHeight="1" thickBot="1">
      <c r="A59" s="448" t="s">
        <v>126</v>
      </c>
      <c r="B59" s="456" t="s">
        <v>125</v>
      </c>
      <c r="C59" s="55">
        <f>SUM(C49+C52+C53+C57)</f>
        <v>-46383</v>
      </c>
      <c r="D59" s="55">
        <f>SUM(D49+D52+D53+D57)</f>
        <v>0</v>
      </c>
      <c r="E59" s="55">
        <f>SUM(E49+E52+E53+E57)</f>
        <v>0</v>
      </c>
      <c r="F59" s="55">
        <f>SUM(F49+F52+F53+F57)</f>
        <v>1334239</v>
      </c>
      <c r="G59" s="57"/>
    </row>
    <row r="60" spans="1:8" s="53" customFormat="1" ht="18.75" customHeight="1" thickBot="1">
      <c r="A60" s="458" t="s">
        <v>130</v>
      </c>
      <c r="B60" s="459" t="s">
        <v>508</v>
      </c>
      <c r="C60" s="115">
        <f>SUM(C43+C44+C59)</f>
        <v>8144343</v>
      </c>
      <c r="D60" s="115">
        <f>SUM(D43+D44+D59)</f>
        <v>5890957</v>
      </c>
      <c r="E60" s="115">
        <f>SUM(E43+E44+E59)</f>
        <v>6401290</v>
      </c>
      <c r="F60" s="115">
        <f>SUM(F43+F44+F59)</f>
        <v>5195611</v>
      </c>
      <c r="G60" s="460">
        <f>F60/E60*100</f>
        <v>81.16506204218213</v>
      </c>
      <c r="H60" s="52"/>
    </row>
    <row r="61" spans="1:6" ht="12.75">
      <c r="A61" s="58"/>
      <c r="C61" s="59"/>
      <c r="D61" s="59"/>
      <c r="E61" s="59"/>
      <c r="F61" s="59"/>
    </row>
    <row r="62" spans="1:6" ht="15">
      <c r="A62" s="490" t="s">
        <v>127</v>
      </c>
      <c r="B62" s="490"/>
      <c r="C62" s="490"/>
      <c r="D62" s="490"/>
      <c r="E62" s="490"/>
      <c r="F62" s="490"/>
    </row>
    <row r="63" spans="1:6" ht="13.5" thickBot="1">
      <c r="A63" s="58"/>
      <c r="B63" s="60"/>
      <c r="C63" s="61"/>
      <c r="D63" s="61"/>
      <c r="E63" s="61"/>
      <c r="F63" s="62"/>
    </row>
    <row r="64" spans="1:7" ht="13.5" thickBot="1">
      <c r="A64" s="389"/>
      <c r="B64" s="382" t="s">
        <v>0</v>
      </c>
      <c r="C64" s="32" t="s">
        <v>1</v>
      </c>
      <c r="D64" s="32" t="s">
        <v>22</v>
      </c>
      <c r="E64" s="32" t="s">
        <v>23</v>
      </c>
      <c r="F64" s="33" t="s">
        <v>24</v>
      </c>
      <c r="G64" s="34" t="s">
        <v>25</v>
      </c>
    </row>
    <row r="65" spans="1:8" s="66" customFormat="1" ht="35.25" customHeight="1" thickBot="1">
      <c r="A65" s="396"/>
      <c r="B65" s="392" t="s">
        <v>128</v>
      </c>
      <c r="C65" s="63" t="s">
        <v>129</v>
      </c>
      <c r="D65" s="63" t="s">
        <v>28</v>
      </c>
      <c r="E65" s="63" t="s">
        <v>486</v>
      </c>
      <c r="F65" s="381" t="s">
        <v>453</v>
      </c>
      <c r="G65" s="64" t="s">
        <v>29</v>
      </c>
      <c r="H65" s="65"/>
    </row>
    <row r="66" spans="1:7" ht="12.75">
      <c r="A66" s="391" t="s">
        <v>132</v>
      </c>
      <c r="B66" s="383" t="s">
        <v>131</v>
      </c>
      <c r="C66" s="39">
        <f>SUM(C67:C71)</f>
        <v>6359917</v>
      </c>
      <c r="D66" s="39">
        <f>SUM(D67:D70)</f>
        <v>3012428</v>
      </c>
      <c r="E66" s="39">
        <f>SUM(E67:E70)</f>
        <v>3054837</v>
      </c>
      <c r="F66" s="39">
        <f>SUM(F67:F70)</f>
        <v>2192094</v>
      </c>
      <c r="G66" s="40">
        <f>F66/E66*100</f>
        <v>71.7581330853332</v>
      </c>
    </row>
    <row r="67" spans="1:7" ht="12.75">
      <c r="A67" s="391" t="s">
        <v>134</v>
      </c>
      <c r="B67" s="385" t="s">
        <v>133</v>
      </c>
      <c r="C67" s="44">
        <f>2461382+91226</f>
        <v>2552608</v>
      </c>
      <c r="D67" s="44">
        <v>687606</v>
      </c>
      <c r="E67" s="44">
        <v>705633</v>
      </c>
      <c r="F67" s="44">
        <v>446723</v>
      </c>
      <c r="G67" s="45">
        <f>F67/E67*100</f>
        <v>63.308121927404194</v>
      </c>
    </row>
    <row r="68" spans="1:7" ht="12.75">
      <c r="A68" s="391" t="s">
        <v>136</v>
      </c>
      <c r="B68" s="385" t="s">
        <v>135</v>
      </c>
      <c r="C68" s="44">
        <v>2290774</v>
      </c>
      <c r="D68" s="44">
        <v>130000</v>
      </c>
      <c r="E68" s="44">
        <v>157363</v>
      </c>
      <c r="F68" s="44">
        <v>107686</v>
      </c>
      <c r="G68" s="45">
        <f>F68/E68*100</f>
        <v>68.43158811156371</v>
      </c>
    </row>
    <row r="69" spans="1:7" ht="12.75">
      <c r="A69" s="391" t="s">
        <v>138</v>
      </c>
      <c r="B69" s="385" t="s">
        <v>137</v>
      </c>
      <c r="C69" s="44">
        <v>627115</v>
      </c>
      <c r="D69" s="44">
        <v>1434287</v>
      </c>
      <c r="E69" s="44">
        <v>1402906</v>
      </c>
      <c r="F69" s="44">
        <f>1460164-111589-139157-52811</f>
        <v>1156607</v>
      </c>
      <c r="G69" s="45">
        <f>F69/E69*100</f>
        <v>82.44365623926336</v>
      </c>
    </row>
    <row r="70" spans="1:7" ht="12.75">
      <c r="A70" s="391" t="s">
        <v>139</v>
      </c>
      <c r="B70" s="385" t="s">
        <v>523</v>
      </c>
      <c r="C70" s="44">
        <v>889420</v>
      </c>
      <c r="D70" s="44">
        <v>760535</v>
      </c>
      <c r="E70" s="44">
        <v>788935</v>
      </c>
      <c r="F70" s="67">
        <v>481078</v>
      </c>
      <c r="G70" s="45">
        <f>F70/E70*100</f>
        <v>60.97815409381001</v>
      </c>
    </row>
    <row r="71" spans="1:7" ht="11.25" customHeight="1">
      <c r="A71" s="391" t="s">
        <v>141</v>
      </c>
      <c r="B71" s="385" t="s">
        <v>140</v>
      </c>
      <c r="C71" s="67"/>
      <c r="D71" s="44"/>
      <c r="E71" s="44"/>
      <c r="F71" s="44"/>
      <c r="G71" s="45"/>
    </row>
    <row r="72" spans="1:8" ht="12.75">
      <c r="A72" s="391" t="s">
        <v>143</v>
      </c>
      <c r="B72" s="385" t="s">
        <v>142</v>
      </c>
      <c r="C72" s="44">
        <v>2790547</v>
      </c>
      <c r="D72" s="44">
        <v>1062859</v>
      </c>
      <c r="E72" s="44">
        <v>1072450</v>
      </c>
      <c r="F72" s="44">
        <v>663831</v>
      </c>
      <c r="G72" s="45">
        <f>F72/E72*100</f>
        <v>61.898550048953325</v>
      </c>
      <c r="H72" s="68"/>
    </row>
    <row r="73" spans="1:8" ht="12.75">
      <c r="A73" s="391" t="s">
        <v>145</v>
      </c>
      <c r="B73" s="385" t="s">
        <v>144</v>
      </c>
      <c r="C73" s="44">
        <v>722304</v>
      </c>
      <c r="D73" s="44">
        <v>252255</v>
      </c>
      <c r="E73" s="44">
        <v>254325</v>
      </c>
      <c r="F73" s="44">
        <v>169221</v>
      </c>
      <c r="G73" s="45">
        <f>F73/E73*100</f>
        <v>66.53730462990268</v>
      </c>
      <c r="H73" s="68"/>
    </row>
    <row r="74" spans="1:8" ht="12.75">
      <c r="A74" s="391" t="s">
        <v>147</v>
      </c>
      <c r="B74" s="385" t="s">
        <v>146</v>
      </c>
      <c r="C74" s="44">
        <v>91226</v>
      </c>
      <c r="D74" s="44">
        <v>700</v>
      </c>
      <c r="E74" s="44">
        <v>700</v>
      </c>
      <c r="F74" s="44">
        <v>520</v>
      </c>
      <c r="G74" s="45">
        <f>F74/E74*100</f>
        <v>74.28571428571429</v>
      </c>
      <c r="H74" s="68"/>
    </row>
    <row r="75" spans="1:8" ht="12.75">
      <c r="A75" s="391" t="s">
        <v>149</v>
      </c>
      <c r="B75" s="385" t="s">
        <v>148</v>
      </c>
      <c r="C75" s="44">
        <v>1629675</v>
      </c>
      <c r="D75" s="44">
        <v>997463</v>
      </c>
      <c r="E75" s="44">
        <f>1002394-23584</f>
        <v>978810</v>
      </c>
      <c r="F75" s="44">
        <v>760314</v>
      </c>
      <c r="G75" s="45">
        <f>F75/E75*100</f>
        <v>77.67738376191498</v>
      </c>
      <c r="H75" s="68"/>
    </row>
    <row r="76" spans="1:8" ht="12.75">
      <c r="A76" s="391" t="s">
        <v>151</v>
      </c>
      <c r="B76" s="385" t="s">
        <v>150</v>
      </c>
      <c r="C76" s="44"/>
      <c r="D76" s="44"/>
      <c r="E76" s="44"/>
      <c r="F76" s="44"/>
      <c r="G76" s="45"/>
      <c r="H76" s="68"/>
    </row>
    <row r="77" spans="1:8" ht="12.75">
      <c r="A77" s="391" t="s">
        <v>153</v>
      </c>
      <c r="B77" s="385" t="s">
        <v>152</v>
      </c>
      <c r="C77" s="44">
        <v>43930</v>
      </c>
      <c r="D77" s="44">
        <v>30000</v>
      </c>
      <c r="E77" s="44">
        <v>30000</v>
      </c>
      <c r="F77" s="44">
        <f>67757-52811</f>
        <v>14946</v>
      </c>
      <c r="G77" s="45">
        <f>F77/E77*100</f>
        <v>49.82</v>
      </c>
      <c r="H77" s="68"/>
    </row>
    <row r="78" spans="1:8" ht="12.75">
      <c r="A78" s="391" t="s">
        <v>155</v>
      </c>
      <c r="B78" s="385" t="s">
        <v>154</v>
      </c>
      <c r="C78" s="44">
        <f>100978-38636</f>
        <v>62342</v>
      </c>
      <c r="D78" s="44">
        <v>307111</v>
      </c>
      <c r="E78" s="44">
        <f>332238+23584</f>
        <v>355822</v>
      </c>
      <c r="F78" s="44">
        <f>630736-111589-139157</f>
        <v>379990</v>
      </c>
      <c r="G78" s="45">
        <f>F78/E78*100</f>
        <v>106.79216012500632</v>
      </c>
      <c r="H78" s="68"/>
    </row>
    <row r="79" spans="1:8" ht="12.75">
      <c r="A79" s="391" t="s">
        <v>157</v>
      </c>
      <c r="B79" s="393" t="s">
        <v>156</v>
      </c>
      <c r="C79" s="44">
        <v>356050</v>
      </c>
      <c r="D79" s="44">
        <v>362040</v>
      </c>
      <c r="E79" s="44">
        <v>362730</v>
      </c>
      <c r="F79" s="44">
        <v>203272</v>
      </c>
      <c r="G79" s="45">
        <f>F79/E79*100</f>
        <v>56.03947839991178</v>
      </c>
      <c r="H79" s="68"/>
    </row>
    <row r="80" spans="1:8" ht="12.75">
      <c r="A80" s="391" t="s">
        <v>159</v>
      </c>
      <c r="B80" s="393" t="s">
        <v>158</v>
      </c>
      <c r="C80" s="44">
        <v>20000</v>
      </c>
      <c r="D80" s="44"/>
      <c r="E80" s="44"/>
      <c r="F80" s="44"/>
      <c r="G80" s="45"/>
      <c r="H80" s="68"/>
    </row>
    <row r="81" spans="1:8" ht="12.75">
      <c r="A81" s="391" t="s">
        <v>161</v>
      </c>
      <c r="B81" s="393" t="s">
        <v>160</v>
      </c>
      <c r="C81" s="44">
        <v>643843</v>
      </c>
      <c r="D81" s="44"/>
      <c r="E81" s="44"/>
      <c r="F81" s="44"/>
      <c r="G81" s="45"/>
      <c r="H81" s="68"/>
    </row>
    <row r="82" spans="1:7" ht="12.75">
      <c r="A82" s="391" t="s">
        <v>163</v>
      </c>
      <c r="B82" s="393" t="s">
        <v>162</v>
      </c>
      <c r="C82" s="44"/>
      <c r="D82" s="44"/>
      <c r="E82" s="44"/>
      <c r="F82" s="44"/>
      <c r="G82" s="45"/>
    </row>
    <row r="83" spans="1:7" ht="12" customHeight="1">
      <c r="A83" s="391" t="s">
        <v>164</v>
      </c>
      <c r="B83" s="393"/>
      <c r="C83" s="44"/>
      <c r="D83" s="44"/>
      <c r="E83" s="44"/>
      <c r="F83" s="44"/>
      <c r="G83" s="45"/>
    </row>
    <row r="84" spans="1:7" ht="12.75">
      <c r="A84" s="391" t="s">
        <v>166</v>
      </c>
      <c r="B84" s="384" t="s">
        <v>165</v>
      </c>
      <c r="C84" s="41">
        <f>SUM(C85:C91)</f>
        <v>1159488</v>
      </c>
      <c r="D84" s="41">
        <f>SUM(D85:D91)</f>
        <v>2008186</v>
      </c>
      <c r="E84" s="41">
        <f>SUM(E85:E91)</f>
        <v>2027667</v>
      </c>
      <c r="F84" s="41">
        <f>SUM(F85:F91)</f>
        <v>879571</v>
      </c>
      <c r="G84" s="42">
        <f>F84/E84*100</f>
        <v>43.37847388155945</v>
      </c>
    </row>
    <row r="85" spans="1:7" ht="12.75">
      <c r="A85" s="391" t="s">
        <v>168</v>
      </c>
      <c r="B85" s="385" t="s">
        <v>167</v>
      </c>
      <c r="C85" s="44">
        <v>723187</v>
      </c>
      <c r="D85" s="44">
        <v>1538839</v>
      </c>
      <c r="E85" s="44">
        <v>1553462</v>
      </c>
      <c r="F85" s="44">
        <v>332364</v>
      </c>
      <c r="G85" s="45">
        <f>F85/E85*100</f>
        <v>21.395051826179206</v>
      </c>
    </row>
    <row r="86" spans="1:7" ht="12.75">
      <c r="A86" s="391" t="s">
        <v>170</v>
      </c>
      <c r="B86" s="385" t="s">
        <v>169</v>
      </c>
      <c r="C86" s="44">
        <v>269922</v>
      </c>
      <c r="D86" s="44">
        <v>212144</v>
      </c>
      <c r="E86" s="44">
        <v>216502</v>
      </c>
      <c r="F86" s="44">
        <v>372552</v>
      </c>
      <c r="G86" s="45">
        <f>F86/E86*100</f>
        <v>172.07785609370814</v>
      </c>
    </row>
    <row r="87" spans="1:7" ht="12.75">
      <c r="A87" s="391" t="s">
        <v>172</v>
      </c>
      <c r="B87" s="393" t="s">
        <v>171</v>
      </c>
      <c r="C87" s="44">
        <v>95583</v>
      </c>
      <c r="D87" s="44">
        <v>70000</v>
      </c>
      <c r="E87" s="44">
        <v>70000</v>
      </c>
      <c r="F87" s="44">
        <v>52811</v>
      </c>
      <c r="G87" s="45"/>
    </row>
    <row r="88" spans="1:7" ht="12.75">
      <c r="A88" s="391" t="s">
        <v>174</v>
      </c>
      <c r="B88" s="385" t="s">
        <v>173</v>
      </c>
      <c r="C88" s="44">
        <v>9960</v>
      </c>
      <c r="D88" s="44"/>
      <c r="E88" s="44"/>
      <c r="F88" s="44">
        <v>11422</v>
      </c>
      <c r="G88" s="45"/>
    </row>
    <row r="89" spans="1:7" ht="12.75">
      <c r="A89" s="391" t="s">
        <v>176</v>
      </c>
      <c r="B89" s="393" t="s">
        <v>175</v>
      </c>
      <c r="C89" s="44">
        <v>2100</v>
      </c>
      <c r="D89" s="44">
        <v>187203</v>
      </c>
      <c r="E89" s="44">
        <v>187203</v>
      </c>
      <c r="F89" s="44">
        <v>109922</v>
      </c>
      <c r="G89" s="45">
        <f>F89/E89*100</f>
        <v>58.71807609920781</v>
      </c>
    </row>
    <row r="90" spans="1:7" ht="12.75">
      <c r="A90" s="391" t="s">
        <v>178</v>
      </c>
      <c r="B90" s="385" t="s">
        <v>177</v>
      </c>
      <c r="C90" s="44"/>
      <c r="D90" s="44"/>
      <c r="E90" s="44"/>
      <c r="F90" s="44"/>
      <c r="G90" s="45"/>
    </row>
    <row r="91" spans="1:7" ht="12.75">
      <c r="A91" s="391" t="s">
        <v>180</v>
      </c>
      <c r="B91" s="393" t="s">
        <v>179</v>
      </c>
      <c r="C91" s="44">
        <v>58736</v>
      </c>
      <c r="D91" s="44"/>
      <c r="E91" s="44">
        <v>500</v>
      </c>
      <c r="F91" s="44">
        <v>500</v>
      </c>
      <c r="G91" s="45">
        <f>F91/E91*100</f>
        <v>100</v>
      </c>
    </row>
    <row r="92" spans="1:7" ht="12.75">
      <c r="A92" s="391" t="s">
        <v>182</v>
      </c>
      <c r="B92" s="393" t="s">
        <v>181</v>
      </c>
      <c r="C92" s="44"/>
      <c r="D92" s="44"/>
      <c r="E92" s="44"/>
      <c r="F92" s="44"/>
      <c r="G92" s="45"/>
    </row>
    <row r="93" spans="1:7" ht="11.25" customHeight="1">
      <c r="A93" s="391" t="s">
        <v>183</v>
      </c>
      <c r="B93" s="393"/>
      <c r="C93" s="44"/>
      <c r="D93" s="44"/>
      <c r="E93" s="44"/>
      <c r="F93" s="44"/>
      <c r="G93" s="45"/>
    </row>
    <row r="94" spans="1:7" ht="12.75">
      <c r="A94" s="391" t="s">
        <v>185</v>
      </c>
      <c r="B94" s="384" t="s">
        <v>184</v>
      </c>
      <c r="C94" s="41">
        <f>SUM(C95:C97)</f>
        <v>0</v>
      </c>
      <c r="D94" s="41">
        <f>SUM(D95:D97)</f>
        <v>775153</v>
      </c>
      <c r="E94" s="41">
        <f>SUM(E95:E97)</f>
        <v>1223596</v>
      </c>
      <c r="F94" s="41">
        <f>SUM(F95:F97)</f>
        <v>0</v>
      </c>
      <c r="G94" s="42">
        <f>F94/E94*100</f>
        <v>0</v>
      </c>
    </row>
    <row r="95" spans="1:7" ht="12.75">
      <c r="A95" s="391" t="s">
        <v>187</v>
      </c>
      <c r="B95" s="385" t="s">
        <v>186</v>
      </c>
      <c r="C95" s="44"/>
      <c r="D95" s="44"/>
      <c r="E95" s="44"/>
      <c r="F95" s="44"/>
      <c r="G95" s="45"/>
    </row>
    <row r="96" spans="1:7" ht="12.75">
      <c r="A96" s="391" t="s">
        <v>189</v>
      </c>
      <c r="B96" s="385" t="s">
        <v>188</v>
      </c>
      <c r="C96" s="44">
        <v>0</v>
      </c>
      <c r="D96" s="44">
        <v>61083</v>
      </c>
      <c r="E96" s="44">
        <v>188719</v>
      </c>
      <c r="F96" s="44"/>
      <c r="G96" s="45"/>
    </row>
    <row r="97" spans="1:7" ht="12.75">
      <c r="A97" s="391" t="s">
        <v>191</v>
      </c>
      <c r="B97" s="385" t="s">
        <v>190</v>
      </c>
      <c r="C97" s="44">
        <v>0</v>
      </c>
      <c r="D97" s="44">
        <v>714070</v>
      </c>
      <c r="E97" s="44">
        <v>1034877</v>
      </c>
      <c r="F97" s="44"/>
      <c r="G97" s="45"/>
    </row>
    <row r="98" spans="1:7" ht="13.5" thickBot="1">
      <c r="A98" s="391" t="s">
        <v>193</v>
      </c>
      <c r="B98" s="386" t="s">
        <v>192</v>
      </c>
      <c r="C98" s="54"/>
      <c r="D98" s="54"/>
      <c r="E98" s="54"/>
      <c r="F98" s="54"/>
      <c r="G98" s="69"/>
    </row>
    <row r="99" spans="1:8" s="53" customFormat="1" ht="18.75" customHeight="1" thickBot="1">
      <c r="A99" s="462" t="s">
        <v>195</v>
      </c>
      <c r="B99" s="387" t="s">
        <v>194</v>
      </c>
      <c r="C99" s="70">
        <f>SUM(C66+C84+C94+C98)</f>
        <v>7519405</v>
      </c>
      <c r="D99" s="70">
        <f>SUM(D66+D84+D94+D98)</f>
        <v>5795767</v>
      </c>
      <c r="E99" s="70">
        <f>SUM(E66+E84+E94+E98)</f>
        <v>6306100</v>
      </c>
      <c r="F99" s="70">
        <f>SUM(F66+F84+F94+F98)</f>
        <v>3071665</v>
      </c>
      <c r="G99" s="71">
        <f>F99/E99*100</f>
        <v>48.709424208306245</v>
      </c>
      <c r="H99" s="52"/>
    </row>
    <row r="100" spans="1:7" ht="12.75">
      <c r="A100" s="391" t="s">
        <v>197</v>
      </c>
      <c r="B100" s="383" t="s">
        <v>196</v>
      </c>
      <c r="C100" s="39">
        <f>SUM(C101:C105)</f>
        <v>216096</v>
      </c>
      <c r="D100" s="39">
        <f>SUM(D101:D105)</f>
        <v>95190</v>
      </c>
      <c r="E100" s="39">
        <f>SUM(E101:E105)</f>
        <v>95190</v>
      </c>
      <c r="F100" s="39">
        <f>SUM(F101:F105)</f>
        <v>1821402</v>
      </c>
      <c r="G100" s="40"/>
    </row>
    <row r="101" spans="1:7" ht="12.75">
      <c r="A101" s="391" t="s">
        <v>199</v>
      </c>
      <c r="B101" s="385" t="s">
        <v>198</v>
      </c>
      <c r="C101" s="44">
        <v>136096</v>
      </c>
      <c r="D101" s="44"/>
      <c r="E101" s="44"/>
      <c r="F101" s="44">
        <v>348038</v>
      </c>
      <c r="G101" s="45"/>
    </row>
    <row r="102" spans="1:7" ht="12.75">
      <c r="A102" s="391" t="s">
        <v>201</v>
      </c>
      <c r="B102" s="385" t="s">
        <v>200</v>
      </c>
      <c r="C102" s="44">
        <v>80000</v>
      </c>
      <c r="D102" s="44">
        <v>95190</v>
      </c>
      <c r="E102" s="44">
        <v>95190</v>
      </c>
      <c r="F102" s="44">
        <v>707638</v>
      </c>
      <c r="G102" s="45"/>
    </row>
    <row r="103" spans="1:7" ht="12.75">
      <c r="A103" s="391" t="s">
        <v>203</v>
      </c>
      <c r="B103" s="385" t="s">
        <v>202</v>
      </c>
      <c r="C103" s="44"/>
      <c r="D103" s="44"/>
      <c r="E103" s="44"/>
      <c r="F103" s="44">
        <v>700000</v>
      </c>
      <c r="G103" s="45"/>
    </row>
    <row r="104" spans="1:7" ht="12.75">
      <c r="A104" s="391" t="s">
        <v>205</v>
      </c>
      <c r="B104" s="385" t="s">
        <v>204</v>
      </c>
      <c r="C104" s="44"/>
      <c r="D104" s="44"/>
      <c r="E104" s="44"/>
      <c r="F104" s="44">
        <v>65726</v>
      </c>
      <c r="G104" s="45"/>
    </row>
    <row r="105" spans="1:7" ht="12.75" customHeight="1">
      <c r="A105" s="391" t="s">
        <v>207</v>
      </c>
      <c r="B105" s="394" t="s">
        <v>206</v>
      </c>
      <c r="C105" s="44"/>
      <c r="D105" s="44"/>
      <c r="E105" s="44"/>
      <c r="F105" s="44"/>
      <c r="G105" s="45"/>
    </row>
    <row r="106" spans="1:7" ht="12.75">
      <c r="A106" s="391" t="s">
        <v>209</v>
      </c>
      <c r="B106" s="393" t="s">
        <v>208</v>
      </c>
      <c r="C106" s="44"/>
      <c r="D106" s="44"/>
      <c r="E106" s="44"/>
      <c r="F106" s="44"/>
      <c r="G106" s="45"/>
    </row>
    <row r="107" spans="1:7" ht="12.75">
      <c r="A107" s="391" t="s">
        <v>211</v>
      </c>
      <c r="B107" s="393" t="s">
        <v>210</v>
      </c>
      <c r="C107" s="44"/>
      <c r="D107" s="44"/>
      <c r="E107" s="44"/>
      <c r="F107" s="44"/>
      <c r="G107" s="45"/>
    </row>
    <row r="108" spans="1:7" ht="13.5" thickBot="1">
      <c r="A108" s="391" t="s">
        <v>213</v>
      </c>
      <c r="B108" s="386" t="s">
        <v>212</v>
      </c>
      <c r="C108" s="50">
        <v>-260625</v>
      </c>
      <c r="D108" s="72"/>
      <c r="E108" s="72"/>
      <c r="F108" s="50">
        <v>-51198</v>
      </c>
      <c r="G108" s="51"/>
    </row>
    <row r="109" spans="1:7" ht="18.75" customHeight="1" thickBot="1">
      <c r="A109" s="391" t="s">
        <v>215</v>
      </c>
      <c r="B109" s="388" t="s">
        <v>214</v>
      </c>
      <c r="C109" s="56">
        <f>SUM(C100+C105+C108)</f>
        <v>-44529</v>
      </c>
      <c r="D109" s="56">
        <f>SUM(D100+D105+D108)</f>
        <v>95190</v>
      </c>
      <c r="E109" s="56">
        <f>SUM(E100+E105+E108)</f>
        <v>95190</v>
      </c>
      <c r="F109" s="56">
        <f>SUM(F100+F105+F108)</f>
        <v>1770204</v>
      </c>
      <c r="G109" s="57"/>
    </row>
    <row r="110" spans="1:8" s="53" customFormat="1" ht="18.75" customHeight="1" thickBot="1">
      <c r="A110" s="462" t="s">
        <v>216</v>
      </c>
      <c r="B110" s="463" t="s">
        <v>509</v>
      </c>
      <c r="C110" s="115">
        <f>SUM(C99+C109)</f>
        <v>7474876</v>
      </c>
      <c r="D110" s="115">
        <f>SUM(D99+D109)</f>
        <v>5890957</v>
      </c>
      <c r="E110" s="115">
        <f>SUM(E99+E109)</f>
        <v>6401290</v>
      </c>
      <c r="F110" s="115">
        <f>SUM(F99+F109)</f>
        <v>4841869</v>
      </c>
      <c r="G110" s="460">
        <f>F110/E110*100</f>
        <v>75.63895714769991</v>
      </c>
      <c r="H110" s="52"/>
    </row>
    <row r="111" spans="1:7" ht="13.5" thickBot="1">
      <c r="A111" s="391" t="s">
        <v>217</v>
      </c>
      <c r="B111" s="395"/>
      <c r="C111" s="73"/>
      <c r="D111" s="73"/>
      <c r="E111" s="73"/>
      <c r="F111" s="73"/>
      <c r="G111" s="57"/>
    </row>
    <row r="112" spans="1:8" s="53" customFormat="1" ht="18.75" customHeight="1" thickBot="1">
      <c r="A112" s="462" t="s">
        <v>218</v>
      </c>
      <c r="B112" s="464" t="s">
        <v>510</v>
      </c>
      <c r="C112" s="100">
        <f>SUM(C43-C99)</f>
        <v>-598254</v>
      </c>
      <c r="D112" s="100">
        <f>SUM(D43-D99)</f>
        <v>-1104810</v>
      </c>
      <c r="E112" s="100">
        <f>SUM(E43-E99)</f>
        <v>-1645260</v>
      </c>
      <c r="F112" s="100">
        <f>SUM(F43-F99)</f>
        <v>606751</v>
      </c>
      <c r="G112" s="71"/>
      <c r="H112" s="52"/>
    </row>
    <row r="113" spans="1:8" s="53" customFormat="1" ht="18.75" customHeight="1" thickBot="1">
      <c r="A113" s="465" t="s">
        <v>472</v>
      </c>
      <c r="B113" s="466" t="s">
        <v>511</v>
      </c>
      <c r="C113" s="100">
        <f>SUM(C59-C109)</f>
        <v>-1854</v>
      </c>
      <c r="D113" s="100">
        <f>SUM(D59-D109)</f>
        <v>-95190</v>
      </c>
      <c r="E113" s="100">
        <f>SUM(E59-E109)</f>
        <v>-95190</v>
      </c>
      <c r="F113" s="100">
        <f>SUM(F59-F109)</f>
        <v>-435965</v>
      </c>
      <c r="G113" s="71"/>
      <c r="H113" s="52"/>
    </row>
    <row r="114" ht="12.75">
      <c r="G114" s="74"/>
    </row>
    <row r="115" ht="12.75">
      <c r="G115" s="74"/>
    </row>
    <row r="116" ht="12.75">
      <c r="G116" s="74"/>
    </row>
    <row r="117" ht="12.75">
      <c r="G117" s="74"/>
    </row>
    <row r="118" ht="12.75">
      <c r="G118" s="74"/>
    </row>
    <row r="119" ht="12.75">
      <c r="G119" s="74"/>
    </row>
    <row r="120" ht="12.75">
      <c r="G120" s="74"/>
    </row>
  </sheetData>
  <sheetProtection/>
  <mergeCells count="2">
    <mergeCell ref="A1:F1"/>
    <mergeCell ref="A62:F62"/>
  </mergeCells>
  <printOptions horizontalCentered="1" verticalCentered="1"/>
  <pageMargins left="0.25" right="0.25" top="0.7874015748031497" bottom="0.4724409448818898" header="0.3937007874015748" footer="0.07874015748031496"/>
  <pageSetup horizontalDpi="600" verticalDpi="600" orientation="portrait" scale="95" r:id="rId1"/>
  <headerFooter alignWithMargins="0">
    <oddHeader>&amp;L 3. melléklet a .../...(....) III.negyedéves tájékoztatóhoz&amp;C&amp;"Arial CE,Félkövér"&amp;11
2013.III. negyedévi pénzügyi mérleg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">
      <pane xSplit="2" ySplit="4" topLeftCell="C5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I37" sqref="I37"/>
    </sheetView>
  </sheetViews>
  <sheetFormatPr defaultColWidth="9.00390625" defaultRowHeight="12.75"/>
  <cols>
    <col min="1" max="1" width="3.25390625" style="75" customWidth="1"/>
    <col min="2" max="2" width="26.125" style="75" customWidth="1"/>
    <col min="3" max="3" width="8.75390625" style="75" customWidth="1"/>
    <col min="4" max="4" width="8.625" style="75" customWidth="1"/>
    <col min="5" max="5" width="9.75390625" style="75" customWidth="1"/>
    <col min="6" max="6" width="9.125" style="75" customWidth="1"/>
    <col min="7" max="7" width="5.00390625" style="76" customWidth="1"/>
    <col min="8" max="8" width="27.25390625" style="75" customWidth="1"/>
    <col min="9" max="10" width="8.625" style="75" customWidth="1"/>
    <col min="11" max="11" width="9.375" style="75" customWidth="1"/>
    <col min="12" max="12" width="9.125" style="121" customWidth="1"/>
    <col min="13" max="13" width="6.25390625" style="76" customWidth="1"/>
    <col min="14" max="16384" width="9.125" style="75" customWidth="1"/>
  </cols>
  <sheetData>
    <row r="2" spans="12:13" ht="12.75" customHeight="1" thickBot="1">
      <c r="L2" s="491"/>
      <c r="M2" s="491"/>
    </row>
    <row r="3" spans="1:13" ht="12.75" customHeight="1" thickBot="1">
      <c r="A3" s="77"/>
      <c r="B3" s="78" t="s">
        <v>0</v>
      </c>
      <c r="C3" s="79" t="s">
        <v>1</v>
      </c>
      <c r="D3" s="79" t="s">
        <v>22</v>
      </c>
      <c r="E3" s="79" t="s">
        <v>23</v>
      </c>
      <c r="F3" s="79" t="s">
        <v>24</v>
      </c>
      <c r="G3" s="80" t="s">
        <v>25</v>
      </c>
      <c r="H3" s="78" t="s">
        <v>219</v>
      </c>
      <c r="I3" s="79" t="s">
        <v>220</v>
      </c>
      <c r="J3" s="79" t="s">
        <v>221</v>
      </c>
      <c r="K3" s="79" t="s">
        <v>222</v>
      </c>
      <c r="L3" s="81" t="s">
        <v>223</v>
      </c>
      <c r="M3" s="80" t="s">
        <v>224</v>
      </c>
    </row>
    <row r="4" spans="1:13" s="76" customFormat="1" ht="35.25" customHeight="1" thickBot="1">
      <c r="A4" s="82"/>
      <c r="B4" s="83" t="s">
        <v>225</v>
      </c>
      <c r="C4" s="84" t="s">
        <v>27</v>
      </c>
      <c r="D4" s="84" t="s">
        <v>226</v>
      </c>
      <c r="E4" s="35" t="s">
        <v>486</v>
      </c>
      <c r="F4" s="381" t="s">
        <v>453</v>
      </c>
      <c r="G4" s="85" t="s">
        <v>227</v>
      </c>
      <c r="H4" s="86" t="s">
        <v>228</v>
      </c>
      <c r="I4" s="84" t="s">
        <v>27</v>
      </c>
      <c r="J4" s="84" t="s">
        <v>226</v>
      </c>
      <c r="K4" s="35" t="s">
        <v>486</v>
      </c>
      <c r="L4" s="381" t="s">
        <v>453</v>
      </c>
      <c r="M4" s="85" t="s">
        <v>227</v>
      </c>
    </row>
    <row r="5" spans="1:13" ht="12" customHeight="1">
      <c r="A5" s="87" t="s">
        <v>4</v>
      </c>
      <c r="B5" s="88" t="s">
        <v>229</v>
      </c>
      <c r="C5" s="89">
        <v>428289</v>
      </c>
      <c r="D5" s="90">
        <v>209988</v>
      </c>
      <c r="E5" s="89">
        <f>210438+134</f>
        <v>210572</v>
      </c>
      <c r="F5" s="90">
        <f>252318-1164</f>
        <v>251154</v>
      </c>
      <c r="G5" s="91">
        <f>F5/E5*100</f>
        <v>119.27226791786183</v>
      </c>
      <c r="H5" s="88" t="s">
        <v>230</v>
      </c>
      <c r="I5" s="89">
        <v>2790547</v>
      </c>
      <c r="J5" s="90">
        <v>1062859</v>
      </c>
      <c r="K5" s="90">
        <v>1072450</v>
      </c>
      <c r="L5" s="467">
        <v>663831</v>
      </c>
      <c r="M5" s="91">
        <f>L5/K5*100</f>
        <v>61.898550048953325</v>
      </c>
    </row>
    <row r="6" spans="1:13" ht="12" customHeight="1">
      <c r="A6" s="87" t="s">
        <v>6</v>
      </c>
      <c r="B6" s="92" t="s">
        <v>231</v>
      </c>
      <c r="C6" s="44">
        <v>1287001</v>
      </c>
      <c r="D6" s="93">
        <v>1022170</v>
      </c>
      <c r="E6" s="44">
        <v>1022170</v>
      </c>
      <c r="F6" s="93">
        <v>1112363</v>
      </c>
      <c r="G6" s="94">
        <f>F6/E6*100</f>
        <v>108.82367903577683</v>
      </c>
      <c r="H6" s="92" t="s">
        <v>232</v>
      </c>
      <c r="I6" s="44">
        <v>722304</v>
      </c>
      <c r="J6" s="93">
        <v>252255</v>
      </c>
      <c r="K6" s="93">
        <v>254325</v>
      </c>
      <c r="L6" s="468">
        <v>169221</v>
      </c>
      <c r="M6" s="94">
        <f>L6/K6*100</f>
        <v>66.53730462990268</v>
      </c>
    </row>
    <row r="7" spans="1:13" ht="12" customHeight="1">
      <c r="A7" s="87" t="s">
        <v>8</v>
      </c>
      <c r="B7" s="92" t="s">
        <v>233</v>
      </c>
      <c r="C7" s="44">
        <f>2423914-17592</f>
        <v>2406322</v>
      </c>
      <c r="D7" s="93">
        <v>771259</v>
      </c>
      <c r="E7" s="44">
        <f>771259+11179-10489+148183</f>
        <v>920132</v>
      </c>
      <c r="F7" s="93">
        <f>859253</f>
        <v>859253</v>
      </c>
      <c r="G7" s="94">
        <f>F7/E7*100</f>
        <v>93.38366669130082</v>
      </c>
      <c r="H7" s="92" t="s">
        <v>234</v>
      </c>
      <c r="I7" s="44">
        <v>1629675</v>
      </c>
      <c r="J7" s="93">
        <v>997463</v>
      </c>
      <c r="K7" s="93">
        <f>1002394-23584</f>
        <v>978810</v>
      </c>
      <c r="L7" s="468">
        <v>760314</v>
      </c>
      <c r="M7" s="94">
        <f>L7/K7*100</f>
        <v>77.67738376191498</v>
      </c>
    </row>
    <row r="8" spans="1:13" ht="12" customHeight="1">
      <c r="A8" s="87" t="s">
        <v>10</v>
      </c>
      <c r="B8" s="92" t="s">
        <v>235</v>
      </c>
      <c r="C8" s="44">
        <f>1720942+13279</f>
        <v>1734221</v>
      </c>
      <c r="D8" s="93">
        <v>965284</v>
      </c>
      <c r="E8" s="44">
        <f>765284+10489+984-12373</f>
        <v>764384</v>
      </c>
      <c r="F8" s="93">
        <f>452005-12373</f>
        <v>439632</v>
      </c>
      <c r="G8" s="94">
        <f>F8/E8*100</f>
        <v>57.51454766190815</v>
      </c>
      <c r="H8" s="95" t="s">
        <v>236</v>
      </c>
      <c r="I8" s="44"/>
      <c r="J8" s="93"/>
      <c r="K8" s="93"/>
      <c r="L8" s="468"/>
      <c r="M8" s="94"/>
    </row>
    <row r="9" spans="1:13" ht="12" customHeight="1">
      <c r="A9" s="87" t="s">
        <v>12</v>
      </c>
      <c r="B9" s="92" t="s">
        <v>237</v>
      </c>
      <c r="C9" s="44">
        <v>51235</v>
      </c>
      <c r="D9" s="93"/>
      <c r="E9" s="44">
        <v>8500</v>
      </c>
      <c r="F9" s="93">
        <v>59099</v>
      </c>
      <c r="G9" s="94"/>
      <c r="H9" s="92" t="s">
        <v>238</v>
      </c>
      <c r="I9" s="44">
        <v>43930</v>
      </c>
      <c r="J9" s="93">
        <v>30000</v>
      </c>
      <c r="K9" s="93">
        <v>30000</v>
      </c>
      <c r="L9" s="468">
        <f>67757-52811</f>
        <v>14946</v>
      </c>
      <c r="M9" s="94">
        <f>L9/K9*100</f>
        <v>49.82</v>
      </c>
    </row>
    <row r="10" spans="1:13" ht="12" customHeight="1">
      <c r="A10" s="87" t="s">
        <v>35</v>
      </c>
      <c r="B10" s="92" t="s">
        <v>239</v>
      </c>
      <c r="C10" s="44">
        <v>20000</v>
      </c>
      <c r="D10" s="93"/>
      <c r="E10" s="93"/>
      <c r="F10" s="93">
        <v>929</v>
      </c>
      <c r="G10" s="94"/>
      <c r="H10" s="92" t="s">
        <v>240</v>
      </c>
      <c r="I10" s="44">
        <v>91226</v>
      </c>
      <c r="J10" s="93">
        <v>700</v>
      </c>
      <c r="K10" s="93">
        <v>700</v>
      </c>
      <c r="L10" s="468">
        <v>520</v>
      </c>
      <c r="M10" s="94">
        <f>L10/K10*100</f>
        <v>74.28571428571429</v>
      </c>
    </row>
    <row r="11" spans="1:13" ht="12" customHeight="1">
      <c r="A11" s="87" t="s">
        <v>37</v>
      </c>
      <c r="B11" s="92"/>
      <c r="C11" s="44"/>
      <c r="D11" s="93"/>
      <c r="E11" s="93"/>
      <c r="F11" s="93"/>
      <c r="G11" s="94"/>
      <c r="H11" s="92" t="s">
        <v>241</v>
      </c>
      <c r="I11" s="44">
        <v>62342</v>
      </c>
      <c r="J11" s="93">
        <v>307111</v>
      </c>
      <c r="K11" s="93">
        <f>332238+23584</f>
        <v>355822</v>
      </c>
      <c r="L11" s="468">
        <v>379990</v>
      </c>
      <c r="M11" s="94">
        <f>L11/K11*100</f>
        <v>106.79216012500632</v>
      </c>
    </row>
    <row r="12" spans="1:13" ht="12" customHeight="1">
      <c r="A12" s="87" t="s">
        <v>39</v>
      </c>
      <c r="B12" s="92"/>
      <c r="C12" s="44"/>
      <c r="D12" s="93"/>
      <c r="E12" s="93"/>
      <c r="F12" s="93"/>
      <c r="G12" s="94"/>
      <c r="H12" s="92" t="s">
        <v>242</v>
      </c>
      <c r="I12" s="44">
        <v>356050</v>
      </c>
      <c r="J12" s="93">
        <v>362040</v>
      </c>
      <c r="K12" s="93">
        <v>362730</v>
      </c>
      <c r="L12" s="468">
        <v>203272</v>
      </c>
      <c r="M12" s="94">
        <f>L12/K12*100</f>
        <v>56.03947839991178</v>
      </c>
    </row>
    <row r="13" spans="1:13" ht="12" customHeight="1">
      <c r="A13" s="87" t="s">
        <v>41</v>
      </c>
      <c r="B13" s="92"/>
      <c r="C13" s="44"/>
      <c r="D13" s="93"/>
      <c r="E13" s="93"/>
      <c r="F13" s="93"/>
      <c r="G13" s="94"/>
      <c r="H13" s="92" t="s">
        <v>243</v>
      </c>
      <c r="I13" s="44"/>
      <c r="J13" s="93"/>
      <c r="K13" s="93"/>
      <c r="L13" s="468"/>
      <c r="M13" s="94"/>
    </row>
    <row r="14" spans="1:13" ht="12" customHeight="1">
      <c r="A14" s="87" t="s">
        <v>43</v>
      </c>
      <c r="B14" s="92"/>
      <c r="C14" s="44"/>
      <c r="D14" s="93"/>
      <c r="E14" s="93"/>
      <c r="F14" s="93"/>
      <c r="G14" s="94"/>
      <c r="H14" s="92" t="s">
        <v>244</v>
      </c>
      <c r="I14" s="44">
        <v>20000</v>
      </c>
      <c r="J14" s="93"/>
      <c r="K14" s="93"/>
      <c r="L14" s="468"/>
      <c r="M14" s="94"/>
    </row>
    <row r="15" spans="1:13" ht="12" customHeight="1">
      <c r="A15" s="87" t="s">
        <v>45</v>
      </c>
      <c r="B15" s="92"/>
      <c r="C15" s="44"/>
      <c r="D15" s="93"/>
      <c r="E15" s="93"/>
      <c r="F15" s="93"/>
      <c r="G15" s="94"/>
      <c r="H15" s="92" t="s">
        <v>245</v>
      </c>
      <c r="I15" s="44">
        <v>643843</v>
      </c>
      <c r="J15" s="93"/>
      <c r="K15" s="93"/>
      <c r="L15" s="468"/>
      <c r="M15" s="94"/>
    </row>
    <row r="16" spans="1:13" ht="12" customHeight="1" thickBot="1">
      <c r="A16" s="87" t="s">
        <v>47</v>
      </c>
      <c r="B16" s="96"/>
      <c r="C16" s="54"/>
      <c r="D16" s="97"/>
      <c r="E16" s="97"/>
      <c r="F16" s="97"/>
      <c r="G16" s="98"/>
      <c r="H16" s="96" t="s">
        <v>246</v>
      </c>
      <c r="I16" s="54"/>
      <c r="J16" s="97">
        <v>61083</v>
      </c>
      <c r="K16" s="97">
        <f>40083+148636</f>
        <v>188719</v>
      </c>
      <c r="L16" s="469"/>
      <c r="M16" s="98"/>
    </row>
    <row r="17" spans="1:13" ht="22.5" customHeight="1" thickBot="1">
      <c r="A17" s="87" t="s">
        <v>48</v>
      </c>
      <c r="B17" s="99" t="s">
        <v>247</v>
      </c>
      <c r="C17" s="100">
        <f>SUM(C5:C16)</f>
        <v>5927068</v>
      </c>
      <c r="D17" s="101">
        <f>SUM(D5:D16)</f>
        <v>2968701</v>
      </c>
      <c r="E17" s="101">
        <f>SUM(E5:E16)</f>
        <v>2925758</v>
      </c>
      <c r="F17" s="101">
        <f>SUM(F5:F16)</f>
        <v>2722430</v>
      </c>
      <c r="G17" s="102">
        <f>F17/E17*100</f>
        <v>93.05041633655279</v>
      </c>
      <c r="H17" s="397" t="s">
        <v>248</v>
      </c>
      <c r="I17" s="101">
        <f>SUM(I5:I16)</f>
        <v>6359917</v>
      </c>
      <c r="J17" s="101">
        <f>SUM(J5:J16)</f>
        <v>3073511</v>
      </c>
      <c r="K17" s="101">
        <f>SUM(K5:K16)</f>
        <v>3243556</v>
      </c>
      <c r="L17" s="470">
        <f>SUM(L5:L16)</f>
        <v>2192094</v>
      </c>
      <c r="M17" s="102">
        <f>L17/K17*100</f>
        <v>67.58304774142947</v>
      </c>
    </row>
    <row r="18" spans="1:13" ht="21.75" customHeight="1">
      <c r="A18" s="87" t="s">
        <v>50</v>
      </c>
      <c r="B18" s="103" t="s">
        <v>249</v>
      </c>
      <c r="C18" s="39">
        <v>1056563</v>
      </c>
      <c r="D18" s="104">
        <v>200000</v>
      </c>
      <c r="E18" s="104">
        <v>412535</v>
      </c>
      <c r="F18" s="104">
        <v>32846</v>
      </c>
      <c r="G18" s="91"/>
      <c r="H18" s="88" t="s">
        <v>250</v>
      </c>
      <c r="I18" s="89">
        <v>80000</v>
      </c>
      <c r="J18" s="90">
        <v>95190</v>
      </c>
      <c r="K18" s="89">
        <f>146040-50850</f>
        <v>95190</v>
      </c>
      <c r="L18" s="471">
        <v>707638</v>
      </c>
      <c r="M18" s="105">
        <f>L18/K18*100</f>
        <v>743.39531463389</v>
      </c>
    </row>
    <row r="19" spans="1:13" ht="12" customHeight="1">
      <c r="A19" s="87" t="s">
        <v>52</v>
      </c>
      <c r="B19" s="106" t="s">
        <v>251</v>
      </c>
      <c r="C19" s="41"/>
      <c r="D19" s="107"/>
      <c r="E19" s="107"/>
      <c r="F19" s="107"/>
      <c r="G19" s="94"/>
      <c r="H19" s="92" t="s">
        <v>252</v>
      </c>
      <c r="I19" s="44"/>
      <c r="J19" s="93"/>
      <c r="K19" s="44"/>
      <c r="L19" s="468">
        <v>700000</v>
      </c>
      <c r="M19" s="94"/>
    </row>
    <row r="20" spans="1:13" ht="12" customHeight="1">
      <c r="A20" s="87" t="s">
        <v>54</v>
      </c>
      <c r="B20" s="92" t="s">
        <v>253</v>
      </c>
      <c r="C20" s="44"/>
      <c r="D20" s="93"/>
      <c r="E20" s="93"/>
      <c r="F20" s="93">
        <v>458969</v>
      </c>
      <c r="G20" s="94"/>
      <c r="H20" s="92" t="s">
        <v>254</v>
      </c>
      <c r="I20" s="44"/>
      <c r="J20" s="108"/>
      <c r="K20" s="109"/>
      <c r="L20" s="468"/>
      <c r="M20" s="94"/>
    </row>
    <row r="21" spans="1:13" ht="12" customHeight="1">
      <c r="A21" s="87" t="s">
        <v>56</v>
      </c>
      <c r="B21" s="92" t="s">
        <v>255</v>
      </c>
      <c r="C21" s="44">
        <v>149725</v>
      </c>
      <c r="D21" s="93"/>
      <c r="E21" s="93"/>
      <c r="F21" s="93">
        <v>840000</v>
      </c>
      <c r="G21" s="94"/>
      <c r="H21" s="110" t="s">
        <v>256</v>
      </c>
      <c r="I21" s="41"/>
      <c r="J21" s="107"/>
      <c r="K21" s="41"/>
      <c r="L21" s="468">
        <v>65726</v>
      </c>
      <c r="M21" s="94"/>
    </row>
    <row r="22" spans="1:13" ht="12" customHeight="1">
      <c r="A22" s="87" t="s">
        <v>58</v>
      </c>
      <c r="B22" s="92" t="s">
        <v>257</v>
      </c>
      <c r="C22" s="44"/>
      <c r="D22" s="93"/>
      <c r="E22" s="93"/>
      <c r="F22" s="93"/>
      <c r="G22" s="94"/>
      <c r="H22" s="92" t="s">
        <v>258</v>
      </c>
      <c r="I22" s="44"/>
      <c r="J22" s="93"/>
      <c r="K22" s="44"/>
      <c r="L22" s="468"/>
      <c r="M22" s="94"/>
    </row>
    <row r="23" spans="1:13" ht="12" customHeight="1">
      <c r="A23" s="87" t="s">
        <v>60</v>
      </c>
      <c r="B23" s="92" t="s">
        <v>259</v>
      </c>
      <c r="C23" s="44"/>
      <c r="D23" s="93"/>
      <c r="E23" s="93"/>
      <c r="F23" s="93"/>
      <c r="G23" s="94"/>
      <c r="H23" s="92" t="s">
        <v>260</v>
      </c>
      <c r="I23" s="44"/>
      <c r="J23" s="93"/>
      <c r="K23" s="44"/>
      <c r="L23" s="468"/>
      <c r="M23" s="94"/>
    </row>
    <row r="24" spans="1:13" ht="12" customHeight="1">
      <c r="A24" s="87" t="s">
        <v>62</v>
      </c>
      <c r="B24" s="92" t="s">
        <v>261</v>
      </c>
      <c r="C24" s="44"/>
      <c r="D24" s="93"/>
      <c r="E24" s="93"/>
      <c r="F24" s="93"/>
      <c r="G24" s="94"/>
      <c r="H24" s="92" t="s">
        <v>262</v>
      </c>
      <c r="I24" s="44"/>
      <c r="J24" s="93"/>
      <c r="K24" s="44"/>
      <c r="L24" s="468"/>
      <c r="M24" s="94"/>
    </row>
    <row r="25" spans="1:13" ht="12" customHeight="1">
      <c r="A25" s="87" t="s">
        <v>64</v>
      </c>
      <c r="B25" s="92" t="s">
        <v>263</v>
      </c>
      <c r="C25" s="44"/>
      <c r="D25" s="93"/>
      <c r="E25" s="93"/>
      <c r="F25" s="93"/>
      <c r="G25" s="94"/>
      <c r="H25" s="92" t="s">
        <v>264</v>
      </c>
      <c r="I25" s="111"/>
      <c r="J25" s="111"/>
      <c r="K25" s="111"/>
      <c r="L25" s="472"/>
      <c r="M25" s="94"/>
    </row>
    <row r="26" spans="1:13" ht="12" customHeight="1">
      <c r="A26" s="87" t="s">
        <v>66</v>
      </c>
      <c r="B26" s="92" t="s">
        <v>265</v>
      </c>
      <c r="C26" s="41"/>
      <c r="D26" s="107"/>
      <c r="E26" s="107"/>
      <c r="F26" s="107"/>
      <c r="G26" s="94"/>
      <c r="H26" s="92" t="s">
        <v>266</v>
      </c>
      <c r="I26" s="44">
        <v>-260625</v>
      </c>
      <c r="J26" s="107"/>
      <c r="K26" s="41"/>
      <c r="L26" s="468">
        <v>-51198</v>
      </c>
      <c r="M26" s="94"/>
    </row>
    <row r="27" spans="1:13" ht="12" customHeight="1">
      <c r="A27" s="87" t="s">
        <v>68</v>
      </c>
      <c r="B27" s="92" t="s">
        <v>267</v>
      </c>
      <c r="C27" s="44">
        <v>-196108</v>
      </c>
      <c r="D27" s="93"/>
      <c r="E27" s="93"/>
      <c r="F27" s="93">
        <v>35270</v>
      </c>
      <c r="G27" s="94"/>
      <c r="H27" s="92"/>
      <c r="I27" s="93"/>
      <c r="J27" s="93"/>
      <c r="K27" s="93"/>
      <c r="L27" s="67"/>
      <c r="M27" s="94"/>
    </row>
    <row r="28" spans="1:13" ht="12" customHeight="1" thickBot="1">
      <c r="A28" s="87" t="s">
        <v>70</v>
      </c>
      <c r="B28" s="96"/>
      <c r="C28" s="54"/>
      <c r="D28" s="97"/>
      <c r="E28" s="97"/>
      <c r="F28" s="97"/>
      <c r="G28" s="98"/>
      <c r="H28" s="96"/>
      <c r="I28" s="112"/>
      <c r="J28" s="112"/>
      <c r="K28" s="112"/>
      <c r="L28" s="473"/>
      <c r="M28" s="98"/>
    </row>
    <row r="29" spans="1:13" ht="22.5" customHeight="1" thickBot="1">
      <c r="A29" s="87" t="s">
        <v>72</v>
      </c>
      <c r="B29" s="99" t="s">
        <v>268</v>
      </c>
      <c r="C29" s="100">
        <f>SUM(C20:C28)</f>
        <v>-46383</v>
      </c>
      <c r="D29" s="101">
        <f>SUM(D20:D28)</f>
        <v>0</v>
      </c>
      <c r="E29" s="101">
        <f>SUM(E20:E28)</f>
        <v>0</v>
      </c>
      <c r="F29" s="101">
        <f>SUM(F20:F28)</f>
        <v>1334239</v>
      </c>
      <c r="G29" s="113"/>
      <c r="H29" s="99" t="s">
        <v>269</v>
      </c>
      <c r="I29" s="101">
        <f>SUM(I18:I28)</f>
        <v>-180625</v>
      </c>
      <c r="J29" s="101">
        <f>SUM(J18:J28)</f>
        <v>95190</v>
      </c>
      <c r="K29" s="101">
        <f>SUM(K18:K28)</f>
        <v>95190</v>
      </c>
      <c r="L29" s="474">
        <f>SUM(L18:L28)</f>
        <v>1422166</v>
      </c>
      <c r="M29" s="102">
        <f>L29/K29*100</f>
        <v>1494.0287845361909</v>
      </c>
    </row>
    <row r="30" spans="1:13" s="118" customFormat="1" ht="22.5" customHeight="1" thickBot="1">
      <c r="A30" s="87" t="s">
        <v>74</v>
      </c>
      <c r="B30" s="114" t="s">
        <v>270</v>
      </c>
      <c r="C30" s="115">
        <f>SUM(C17+C18+C19+C29)</f>
        <v>6937248</v>
      </c>
      <c r="D30" s="116">
        <f>SUM(D17+D18+D19+D29)</f>
        <v>3168701</v>
      </c>
      <c r="E30" s="116">
        <f>SUM(E17+E18+E19+E29)</f>
        <v>3338293</v>
      </c>
      <c r="F30" s="116">
        <f>SUM(F17+F18+F19+F29)</f>
        <v>4089515</v>
      </c>
      <c r="G30" s="117">
        <f>F30/E30*100</f>
        <v>122.50317752216478</v>
      </c>
      <c r="H30" s="114" t="s">
        <v>271</v>
      </c>
      <c r="I30" s="116">
        <f>SUM(I17+I29)</f>
        <v>6179292</v>
      </c>
      <c r="J30" s="116">
        <f>SUM(J17+J29)</f>
        <v>3168701</v>
      </c>
      <c r="K30" s="116">
        <f>SUM(K17+K29)</f>
        <v>3338746</v>
      </c>
      <c r="L30" s="475">
        <f>SUM(L17+L29)</f>
        <v>3614260</v>
      </c>
      <c r="M30" s="117">
        <f>L30/K30*100</f>
        <v>108.25202036932428</v>
      </c>
    </row>
    <row r="31" spans="1:13" ht="16.5" customHeight="1" thickBot="1">
      <c r="A31" s="119" t="s">
        <v>76</v>
      </c>
      <c r="B31" s="120" t="s">
        <v>272</v>
      </c>
      <c r="C31" s="100">
        <f>SUM(I17-C17)</f>
        <v>432849</v>
      </c>
      <c r="D31" s="101">
        <f>SUM(J17-D17)</f>
        <v>104810</v>
      </c>
      <c r="E31" s="101">
        <f>SUM(K17-E17)</f>
        <v>317798</v>
      </c>
      <c r="F31" s="101"/>
      <c r="G31" s="102"/>
      <c r="H31" s="120" t="s">
        <v>273</v>
      </c>
      <c r="I31" s="101"/>
      <c r="J31" s="101"/>
      <c r="K31" s="101"/>
      <c r="L31" s="470">
        <f>SUM(F17-L17)</f>
        <v>530336</v>
      </c>
      <c r="M31" s="102"/>
    </row>
    <row r="45" ht="12" customHeight="1"/>
  </sheetData>
  <sheetProtection/>
  <mergeCells count="1">
    <mergeCell ref="L2:M2"/>
  </mergeCells>
  <printOptions horizontalCentered="1" verticalCentered="1"/>
  <pageMargins left="0.39375" right="0.39375" top="0.7868055555555555" bottom="0.4722222222222222" header="0.5902777777777778" footer="0.5118055555555555"/>
  <pageSetup fitToHeight="1" fitToWidth="1" horizontalDpi="300" verticalDpi="300" orientation="landscape" scale="95" r:id="rId1"/>
  <headerFooter alignWithMargins="0">
    <oddHeader>&amp;L&amp;8  4. melléklet a …/…..(….) III.negyedéves tájékoztatóhoz&amp;C&amp;"Arial CE,Félkövér"&amp;11Működési célú  bevételek és kiadások mérlege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.375" style="122" customWidth="1"/>
    <col min="2" max="2" width="29.875" style="122" customWidth="1"/>
    <col min="3" max="3" width="8.875" style="122" hidden="1" customWidth="1"/>
    <col min="4" max="4" width="8.75390625" style="122" customWidth="1"/>
    <col min="5" max="5" width="8.625" style="122" customWidth="1"/>
    <col min="6" max="6" width="9.375" style="122" bestFit="1" customWidth="1"/>
    <col min="7" max="7" width="9.125" style="122" customWidth="1"/>
    <col min="8" max="8" width="4.25390625" style="122" bestFit="1" customWidth="1"/>
    <col min="9" max="9" width="26.625" style="122" customWidth="1"/>
    <col min="10" max="10" width="8.375" style="122" hidden="1" customWidth="1"/>
    <col min="11" max="11" width="9.00390625" style="122" customWidth="1"/>
    <col min="12" max="12" width="9.375" style="122" bestFit="1" customWidth="1"/>
    <col min="13" max="13" width="9.375" style="122" customWidth="1"/>
    <col min="14" max="14" width="8.875" style="122" customWidth="1"/>
    <col min="15" max="15" width="4.125" style="122" customWidth="1"/>
    <col min="16" max="16384" width="9.125" style="122" customWidth="1"/>
  </cols>
  <sheetData>
    <row r="1" spans="14:15" ht="13.5" thickBot="1">
      <c r="N1" s="492"/>
      <c r="O1" s="492"/>
    </row>
    <row r="2" spans="1:15" ht="13.5" thickBot="1">
      <c r="A2" s="123"/>
      <c r="B2" s="78" t="s">
        <v>0</v>
      </c>
      <c r="C2" s="79" t="s">
        <v>1</v>
      </c>
      <c r="D2" s="79" t="s">
        <v>1</v>
      </c>
      <c r="E2" s="79" t="s">
        <v>22</v>
      </c>
      <c r="F2" s="79" t="s">
        <v>23</v>
      </c>
      <c r="G2" s="79" t="s">
        <v>24</v>
      </c>
      <c r="H2" s="124" t="s">
        <v>25</v>
      </c>
      <c r="I2" s="78" t="s">
        <v>274</v>
      </c>
      <c r="J2" s="79" t="s">
        <v>221</v>
      </c>
      <c r="K2" s="79" t="s">
        <v>220</v>
      </c>
      <c r="L2" s="79" t="s">
        <v>221</v>
      </c>
      <c r="M2" s="79" t="s">
        <v>222</v>
      </c>
      <c r="N2" s="79" t="s">
        <v>223</v>
      </c>
      <c r="O2" s="124" t="s">
        <v>224</v>
      </c>
    </row>
    <row r="3" spans="1:15" s="126" customFormat="1" ht="34.5" customHeight="1" thickBot="1">
      <c r="A3" s="125"/>
      <c r="B3" s="83" t="s">
        <v>225</v>
      </c>
      <c r="C3" s="84" t="s">
        <v>275</v>
      </c>
      <c r="D3" s="84" t="s">
        <v>27</v>
      </c>
      <c r="E3" s="84" t="s">
        <v>226</v>
      </c>
      <c r="F3" s="35" t="s">
        <v>486</v>
      </c>
      <c r="G3" s="36" t="s">
        <v>453</v>
      </c>
      <c r="H3" s="85" t="s">
        <v>227</v>
      </c>
      <c r="I3" s="86" t="s">
        <v>228</v>
      </c>
      <c r="J3" s="84" t="s">
        <v>275</v>
      </c>
      <c r="K3" s="84" t="s">
        <v>27</v>
      </c>
      <c r="L3" s="84" t="s">
        <v>226</v>
      </c>
      <c r="M3" s="35" t="s">
        <v>486</v>
      </c>
      <c r="N3" s="36" t="s">
        <v>453</v>
      </c>
      <c r="O3" s="85" t="s">
        <v>227</v>
      </c>
    </row>
    <row r="4" spans="1:15" ht="12.75" customHeight="1">
      <c r="A4" s="127" t="s">
        <v>4</v>
      </c>
      <c r="B4" s="88" t="s">
        <v>276</v>
      </c>
      <c r="C4" s="90">
        <v>8775</v>
      </c>
      <c r="D4" s="89">
        <v>60301</v>
      </c>
      <c r="E4" s="90">
        <v>19000</v>
      </c>
      <c r="F4" s="90">
        <v>19000</v>
      </c>
      <c r="G4" s="90">
        <v>9714</v>
      </c>
      <c r="H4" s="128">
        <f>G4/F4*100</f>
        <v>51.126315789473686</v>
      </c>
      <c r="I4" s="88" t="s">
        <v>277</v>
      </c>
      <c r="J4" s="90">
        <v>199014</v>
      </c>
      <c r="K4" s="89">
        <v>723187</v>
      </c>
      <c r="L4" s="90">
        <v>1538839</v>
      </c>
      <c r="M4" s="90">
        <v>1553462</v>
      </c>
      <c r="N4" s="90">
        <v>332364</v>
      </c>
      <c r="O4" s="128">
        <f>N4/M4*100</f>
        <v>21.395051826179206</v>
      </c>
    </row>
    <row r="5" spans="1:15" ht="12.75" customHeight="1">
      <c r="A5" s="127" t="s">
        <v>6</v>
      </c>
      <c r="B5" s="92" t="s">
        <v>278</v>
      </c>
      <c r="C5" s="93">
        <v>175619</v>
      </c>
      <c r="D5" s="44">
        <v>5793</v>
      </c>
      <c r="E5" s="93">
        <v>6860</v>
      </c>
      <c r="F5" s="93">
        <v>6860</v>
      </c>
      <c r="G5" s="93"/>
      <c r="H5" s="129"/>
      <c r="I5" s="92" t="s">
        <v>279</v>
      </c>
      <c r="J5" s="93">
        <v>28695</v>
      </c>
      <c r="K5" s="44">
        <v>269922</v>
      </c>
      <c r="L5" s="93">
        <v>212144</v>
      </c>
      <c r="M5" s="93">
        <v>216502</v>
      </c>
      <c r="N5" s="93">
        <v>372552</v>
      </c>
      <c r="O5" s="129">
        <f>N5/M5*100</f>
        <v>172.07785609370814</v>
      </c>
    </row>
    <row r="6" spans="1:15" ht="22.5">
      <c r="A6" s="127" t="s">
        <v>8</v>
      </c>
      <c r="B6" s="92" t="s">
        <v>280</v>
      </c>
      <c r="C6" s="93"/>
      <c r="D6" s="44"/>
      <c r="E6" s="93"/>
      <c r="F6" s="93"/>
      <c r="G6" s="93"/>
      <c r="H6" s="129"/>
      <c r="I6" s="92" t="s">
        <v>281</v>
      </c>
      <c r="J6" s="93"/>
      <c r="K6" s="44"/>
      <c r="L6" s="93"/>
      <c r="M6" s="93"/>
      <c r="N6" s="93">
        <v>11040</v>
      </c>
      <c r="O6" s="129"/>
    </row>
    <row r="7" spans="1:15" ht="22.5">
      <c r="A7" s="127" t="s">
        <v>10</v>
      </c>
      <c r="B7" s="95" t="s">
        <v>282</v>
      </c>
      <c r="C7" s="93"/>
      <c r="D7" s="44">
        <v>78032</v>
      </c>
      <c r="E7" s="93">
        <v>70000</v>
      </c>
      <c r="F7" s="93">
        <v>70000</v>
      </c>
      <c r="G7" s="93">
        <f>43885</f>
        <v>43885</v>
      </c>
      <c r="H7" s="129">
        <f>G7/F7*100</f>
        <v>62.692857142857136</v>
      </c>
      <c r="I7" s="92" t="s">
        <v>283</v>
      </c>
      <c r="J7" s="93">
        <v>210</v>
      </c>
      <c r="K7" s="44">
        <v>9960</v>
      </c>
      <c r="L7" s="93"/>
      <c r="M7" s="93"/>
      <c r="N7" s="93">
        <v>382</v>
      </c>
      <c r="O7" s="129"/>
    </row>
    <row r="8" spans="1:15" ht="12.75" customHeight="1">
      <c r="A8" s="127" t="s">
        <v>12</v>
      </c>
      <c r="B8" s="92" t="s">
        <v>284</v>
      </c>
      <c r="C8" s="93"/>
      <c r="D8" s="44"/>
      <c r="E8" s="93"/>
      <c r="F8" s="93"/>
      <c r="G8" s="93"/>
      <c r="H8" s="129"/>
      <c r="I8" s="92" t="s">
        <v>285</v>
      </c>
      <c r="J8" s="93"/>
      <c r="K8" s="44">
        <v>58736</v>
      </c>
      <c r="L8" s="93"/>
      <c r="M8" s="93">
        <v>500</v>
      </c>
      <c r="N8" s="93">
        <v>500</v>
      </c>
      <c r="O8" s="129"/>
    </row>
    <row r="9" spans="1:15" ht="12.75">
      <c r="A9" s="127" t="s">
        <v>35</v>
      </c>
      <c r="B9" s="92" t="s">
        <v>286</v>
      </c>
      <c r="C9" s="93">
        <f>4889</f>
        <v>4889</v>
      </c>
      <c r="D9" s="44">
        <v>140449</v>
      </c>
      <c r="E9" s="93"/>
      <c r="F9" s="93"/>
      <c r="G9" s="93"/>
      <c r="H9" s="129"/>
      <c r="I9" s="92" t="s">
        <v>246</v>
      </c>
      <c r="J9" s="93"/>
      <c r="K9" s="44"/>
      <c r="L9" s="93">
        <v>714070</v>
      </c>
      <c r="M9" s="93">
        <v>1034877</v>
      </c>
      <c r="N9" s="93"/>
      <c r="O9" s="129"/>
    </row>
    <row r="10" spans="1:15" ht="12.75" customHeight="1">
      <c r="A10" s="127" t="s">
        <v>37</v>
      </c>
      <c r="B10" s="92" t="s">
        <v>287</v>
      </c>
      <c r="C10" s="93">
        <f>51+2500+3474+13400+720+200+1000+292</f>
        <v>21637</v>
      </c>
      <c r="D10" s="44">
        <f>10000+29866</f>
        <v>39866</v>
      </c>
      <c r="E10" s="93"/>
      <c r="F10" s="93"/>
      <c r="G10" s="93"/>
      <c r="H10" s="129"/>
      <c r="I10" s="92" t="s">
        <v>288</v>
      </c>
      <c r="J10" s="93"/>
      <c r="K10" s="44">
        <v>2100</v>
      </c>
      <c r="L10" s="93">
        <v>187203</v>
      </c>
      <c r="M10" s="93">
        <v>187203</v>
      </c>
      <c r="N10" s="93">
        <v>109922</v>
      </c>
      <c r="O10" s="129">
        <f>N10/M10*100</f>
        <v>58.71807609920781</v>
      </c>
    </row>
    <row r="11" spans="1:15" ht="12.75" customHeight="1">
      <c r="A11" s="127" t="s">
        <v>39</v>
      </c>
      <c r="B11" s="43" t="s">
        <v>289</v>
      </c>
      <c r="C11" s="93"/>
      <c r="D11" s="44"/>
      <c r="E11" s="93"/>
      <c r="F11" s="93">
        <v>453</v>
      </c>
      <c r="G11" s="93">
        <v>305350</v>
      </c>
      <c r="H11" s="129"/>
      <c r="I11" s="92"/>
      <c r="J11" s="93"/>
      <c r="K11" s="44"/>
      <c r="L11" s="93"/>
      <c r="M11" s="93"/>
      <c r="N11" s="93"/>
      <c r="O11" s="129"/>
    </row>
    <row r="12" spans="1:15" ht="12.75" customHeight="1">
      <c r="A12" s="127" t="s">
        <v>41</v>
      </c>
      <c r="B12" s="92" t="s">
        <v>290</v>
      </c>
      <c r="C12" s="93"/>
      <c r="D12" s="44"/>
      <c r="E12" s="93">
        <v>3460</v>
      </c>
      <c r="F12" s="93">
        <v>3460</v>
      </c>
      <c r="G12" s="93">
        <v>200</v>
      </c>
      <c r="H12" s="129"/>
      <c r="I12" s="92"/>
      <c r="J12" s="93"/>
      <c r="K12" s="44"/>
      <c r="L12" s="93"/>
      <c r="M12" s="93"/>
      <c r="N12" s="93"/>
      <c r="O12" s="129"/>
    </row>
    <row r="13" spans="1:15" ht="12.75" customHeight="1">
      <c r="A13" s="127" t="s">
        <v>43</v>
      </c>
      <c r="B13" s="92" t="s">
        <v>235</v>
      </c>
      <c r="C13" s="93">
        <v>86136</v>
      </c>
      <c r="D13" s="44">
        <v>193658</v>
      </c>
      <c r="E13" s="93">
        <v>3500</v>
      </c>
      <c r="F13" s="93">
        <v>15873</v>
      </c>
      <c r="G13" s="93">
        <f>3657+12373</f>
        <v>16030</v>
      </c>
      <c r="H13" s="129">
        <f>G13/F13*100</f>
        <v>100.98910098910099</v>
      </c>
      <c r="I13" s="92" t="s">
        <v>291</v>
      </c>
      <c r="J13" s="93"/>
      <c r="K13" s="44"/>
      <c r="L13" s="93"/>
      <c r="M13" s="93"/>
      <c r="N13" s="93"/>
      <c r="O13" s="129"/>
    </row>
    <row r="14" spans="1:15" ht="12.75">
      <c r="A14" s="127" t="s">
        <v>45</v>
      </c>
      <c r="B14" s="92" t="s">
        <v>292</v>
      </c>
      <c r="C14" s="93">
        <v>49207</v>
      </c>
      <c r="D14" s="44">
        <v>453674</v>
      </c>
      <c r="E14" s="93">
        <v>1612936</v>
      </c>
      <c r="F14" s="93">
        <v>1612936</v>
      </c>
      <c r="G14" s="93">
        <v>576595</v>
      </c>
      <c r="H14" s="129">
        <f>G14/F14*100</f>
        <v>35.7481635973157</v>
      </c>
      <c r="I14" s="92" t="s">
        <v>293</v>
      </c>
      <c r="J14" s="93"/>
      <c r="K14" s="44">
        <v>95583</v>
      </c>
      <c r="L14" s="93">
        <v>70000</v>
      </c>
      <c r="M14" s="93">
        <v>70000</v>
      </c>
      <c r="N14" s="93">
        <v>52811</v>
      </c>
      <c r="O14" s="129">
        <f>N14/M14*100</f>
        <v>75.44428571428571</v>
      </c>
    </row>
    <row r="15" spans="1:15" ht="12.75" customHeight="1">
      <c r="A15" s="127" t="s">
        <v>47</v>
      </c>
      <c r="B15" s="92" t="s">
        <v>294</v>
      </c>
      <c r="C15" s="93">
        <v>10528</v>
      </c>
      <c r="D15" s="44">
        <v>6682</v>
      </c>
      <c r="E15" s="93">
        <v>6500</v>
      </c>
      <c r="F15" s="93">
        <v>6500</v>
      </c>
      <c r="G15" s="93">
        <v>3048</v>
      </c>
      <c r="H15" s="129">
        <f>G15/F15*100</f>
        <v>46.892307692307696</v>
      </c>
      <c r="I15" s="92" t="s">
        <v>295</v>
      </c>
      <c r="J15" s="93">
        <f>10822+33197-210</f>
        <v>43809</v>
      </c>
      <c r="K15" s="44"/>
      <c r="L15" s="93">
        <v>0</v>
      </c>
      <c r="M15" s="93"/>
      <c r="N15" s="93"/>
      <c r="O15" s="129"/>
    </row>
    <row r="16" spans="1:15" ht="12.75" customHeight="1" thickBot="1">
      <c r="A16" s="127" t="s">
        <v>48</v>
      </c>
      <c r="B16" s="96" t="s">
        <v>296</v>
      </c>
      <c r="C16" s="97">
        <v>3939</v>
      </c>
      <c r="D16" s="54">
        <v>15628</v>
      </c>
      <c r="E16" s="97"/>
      <c r="F16" s="97"/>
      <c r="G16" s="97">
        <v>1164</v>
      </c>
      <c r="H16" s="130"/>
      <c r="I16" s="96"/>
      <c r="J16" s="97"/>
      <c r="K16" s="54"/>
      <c r="L16" s="97"/>
      <c r="M16" s="476"/>
      <c r="N16" s="97"/>
      <c r="O16" s="130"/>
    </row>
    <row r="17" spans="1:15" ht="22.5" customHeight="1" thickBot="1">
      <c r="A17" s="127" t="s">
        <v>50</v>
      </c>
      <c r="B17" s="99" t="s">
        <v>297</v>
      </c>
      <c r="C17" s="101">
        <f>SUM(C4:C16)</f>
        <v>360730</v>
      </c>
      <c r="D17" s="100">
        <f>SUM(D4:D16)</f>
        <v>994083</v>
      </c>
      <c r="E17" s="101">
        <f>SUM(E4:E16)</f>
        <v>1722256</v>
      </c>
      <c r="F17" s="101">
        <f>SUM(F4:F16)</f>
        <v>1735082</v>
      </c>
      <c r="G17" s="101">
        <f>SUM(G4:G16)</f>
        <v>955986</v>
      </c>
      <c r="H17" s="102">
        <f>G17/F17*100</f>
        <v>55.09745360737994</v>
      </c>
      <c r="I17" s="99" t="s">
        <v>298</v>
      </c>
      <c r="J17" s="101">
        <f>SUM(J4:J15)</f>
        <v>271728</v>
      </c>
      <c r="K17" s="100">
        <f>SUM(K4:K15)</f>
        <v>1159488</v>
      </c>
      <c r="L17" s="101">
        <f>SUM(L4:L15)</f>
        <v>2722256</v>
      </c>
      <c r="M17" s="101">
        <f>SUM(M4:M15)</f>
        <v>3062544</v>
      </c>
      <c r="N17" s="101">
        <f>SUM(N4:N16)</f>
        <v>879571</v>
      </c>
      <c r="O17" s="102">
        <f>N17/M17*100</f>
        <v>28.720273080158194</v>
      </c>
    </row>
    <row r="18" spans="1:15" ht="22.5">
      <c r="A18" s="127" t="s">
        <v>52</v>
      </c>
      <c r="B18" s="103" t="s">
        <v>299</v>
      </c>
      <c r="C18" s="104">
        <v>205000</v>
      </c>
      <c r="D18" s="39">
        <v>213012</v>
      </c>
      <c r="E18" s="104">
        <v>1000000</v>
      </c>
      <c r="F18" s="104">
        <v>1327915</v>
      </c>
      <c r="G18" s="104">
        <v>150110</v>
      </c>
      <c r="H18" s="128">
        <f>G18/F18*100</f>
        <v>11.304187391512258</v>
      </c>
      <c r="I18" s="88" t="s">
        <v>250</v>
      </c>
      <c r="J18" s="90"/>
      <c r="K18" s="89"/>
      <c r="L18" s="90"/>
      <c r="M18" s="477"/>
      <c r="N18" s="104"/>
      <c r="O18" s="128"/>
    </row>
    <row r="19" spans="1:15" ht="12.75">
      <c r="A19" s="127" t="s">
        <v>54</v>
      </c>
      <c r="B19" s="92" t="s">
        <v>300</v>
      </c>
      <c r="C19" s="107"/>
      <c r="D19" s="109"/>
      <c r="E19" s="108"/>
      <c r="F19" s="108"/>
      <c r="G19" s="108"/>
      <c r="H19" s="129"/>
      <c r="I19" s="92" t="s">
        <v>252</v>
      </c>
      <c r="J19" s="93"/>
      <c r="K19" s="44"/>
      <c r="L19" s="93"/>
      <c r="M19" s="93"/>
      <c r="N19" s="108"/>
      <c r="O19" s="129"/>
    </row>
    <row r="20" spans="1:15" ht="12.75">
      <c r="A20" s="127" t="s">
        <v>56</v>
      </c>
      <c r="B20" s="92" t="s">
        <v>255</v>
      </c>
      <c r="C20" s="93"/>
      <c r="D20" s="44"/>
      <c r="E20" s="93"/>
      <c r="F20" s="93"/>
      <c r="G20" s="93"/>
      <c r="H20" s="129"/>
      <c r="I20" s="92" t="s">
        <v>254</v>
      </c>
      <c r="J20" s="93">
        <v>179859</v>
      </c>
      <c r="K20" s="44">
        <v>136096</v>
      </c>
      <c r="L20" s="93"/>
      <c r="M20" s="93"/>
      <c r="N20" s="93">
        <v>348038</v>
      </c>
      <c r="O20" s="129"/>
    </row>
    <row r="21" spans="1:15" ht="12.75" customHeight="1">
      <c r="A21" s="127" t="s">
        <v>58</v>
      </c>
      <c r="B21" s="92" t="s">
        <v>257</v>
      </c>
      <c r="C21" s="93"/>
      <c r="D21" s="44"/>
      <c r="E21" s="93"/>
      <c r="F21" s="93"/>
      <c r="G21" s="93"/>
      <c r="H21" s="129"/>
      <c r="I21" s="92" t="s">
        <v>258</v>
      </c>
      <c r="J21" s="107"/>
      <c r="K21" s="41"/>
      <c r="L21" s="93"/>
      <c r="M21" s="93"/>
      <c r="N21" s="93"/>
      <c r="O21" s="129"/>
    </row>
    <row r="22" spans="1:15" ht="12.75" customHeight="1">
      <c r="A22" s="127" t="s">
        <v>60</v>
      </c>
      <c r="B22" s="92" t="s">
        <v>301</v>
      </c>
      <c r="C22" s="93"/>
      <c r="D22" s="44"/>
      <c r="E22" s="93"/>
      <c r="F22" s="93"/>
      <c r="G22" s="93"/>
      <c r="H22" s="129"/>
      <c r="I22" s="92" t="s">
        <v>260</v>
      </c>
      <c r="J22" s="93"/>
      <c r="K22" s="44"/>
      <c r="L22" s="93"/>
      <c r="M22" s="93"/>
      <c r="N22" s="93"/>
      <c r="O22" s="129"/>
    </row>
    <row r="23" spans="1:15" ht="12.75" customHeight="1">
      <c r="A23" s="127" t="s">
        <v>62</v>
      </c>
      <c r="B23" s="92" t="s">
        <v>302</v>
      </c>
      <c r="C23" s="93"/>
      <c r="D23" s="44"/>
      <c r="E23" s="93"/>
      <c r="F23" s="93"/>
      <c r="G23" s="93"/>
      <c r="H23" s="129"/>
      <c r="I23" s="92" t="s">
        <v>262</v>
      </c>
      <c r="J23" s="93"/>
      <c r="K23" s="44"/>
      <c r="L23" s="93"/>
      <c r="M23" s="93"/>
      <c r="N23" s="93"/>
      <c r="O23" s="129"/>
    </row>
    <row r="24" spans="1:15" ht="12.75" customHeight="1">
      <c r="A24" s="127" t="s">
        <v>64</v>
      </c>
      <c r="B24" s="92" t="s">
        <v>303</v>
      </c>
      <c r="C24" s="93">
        <v>1056080</v>
      </c>
      <c r="D24" s="44"/>
      <c r="E24" s="93"/>
      <c r="F24" s="93"/>
      <c r="G24" s="93"/>
      <c r="H24" s="129"/>
      <c r="I24" s="92" t="s">
        <v>264</v>
      </c>
      <c r="J24" s="93"/>
      <c r="K24" s="44"/>
      <c r="L24" s="93"/>
      <c r="M24" s="93"/>
      <c r="N24" s="93"/>
      <c r="O24" s="129"/>
    </row>
    <row r="25" spans="1:15" ht="12.75" customHeight="1">
      <c r="A25" s="127" t="s">
        <v>66</v>
      </c>
      <c r="B25" s="92" t="s">
        <v>304</v>
      </c>
      <c r="C25" s="93"/>
      <c r="D25" s="44"/>
      <c r="E25" s="93"/>
      <c r="F25" s="93"/>
      <c r="G25" s="93"/>
      <c r="H25" s="129"/>
      <c r="I25" s="92" t="s">
        <v>266</v>
      </c>
      <c r="J25" s="93"/>
      <c r="K25" s="44"/>
      <c r="L25" s="93"/>
      <c r="M25" s="93"/>
      <c r="N25" s="93"/>
      <c r="O25" s="129"/>
    </row>
    <row r="26" spans="1:15" ht="12.75">
      <c r="A26" s="127" t="s">
        <v>68</v>
      </c>
      <c r="B26" s="92" t="s">
        <v>267</v>
      </c>
      <c r="C26" s="93"/>
      <c r="D26" s="44"/>
      <c r="E26" s="93"/>
      <c r="F26" s="93"/>
      <c r="G26" s="93"/>
      <c r="H26" s="129"/>
      <c r="I26" s="92"/>
      <c r="J26" s="93"/>
      <c r="K26" s="44"/>
      <c r="L26" s="93"/>
      <c r="M26" s="93"/>
      <c r="N26" s="93"/>
      <c r="O26" s="129"/>
    </row>
    <row r="27" spans="1:15" ht="12.75" customHeight="1" thickBot="1">
      <c r="A27" s="127" t="s">
        <v>70</v>
      </c>
      <c r="B27" s="96"/>
      <c r="C27" s="97"/>
      <c r="D27" s="54"/>
      <c r="E27" s="97"/>
      <c r="F27" s="97"/>
      <c r="G27" s="97"/>
      <c r="H27" s="130"/>
      <c r="I27" s="96"/>
      <c r="J27" s="97"/>
      <c r="K27" s="54"/>
      <c r="L27" s="97"/>
      <c r="M27" s="97"/>
      <c r="N27" s="97"/>
      <c r="O27" s="130"/>
    </row>
    <row r="28" spans="1:15" ht="22.5" customHeight="1" thickBot="1">
      <c r="A28" s="127" t="s">
        <v>72</v>
      </c>
      <c r="B28" s="99" t="s">
        <v>516</v>
      </c>
      <c r="C28" s="101">
        <f>SUM(C19:C27)</f>
        <v>1056080</v>
      </c>
      <c r="D28" s="100">
        <f>SUM(D19:D27)</f>
        <v>0</v>
      </c>
      <c r="E28" s="101">
        <f>SUM(E19:E27)</f>
        <v>0</v>
      </c>
      <c r="F28" s="101">
        <f>SUM(F19:F27)</f>
        <v>0</v>
      </c>
      <c r="G28" s="101">
        <f>SUM(G19:G27)</f>
        <v>0</v>
      </c>
      <c r="H28" s="131"/>
      <c r="I28" s="99" t="s">
        <v>517</v>
      </c>
      <c r="J28" s="101">
        <f>SUM(J18:J27)</f>
        <v>179859</v>
      </c>
      <c r="K28" s="100">
        <f>SUM(K18:K27)</f>
        <v>136096</v>
      </c>
      <c r="L28" s="101">
        <f>SUM(L18:L27)</f>
        <v>0</v>
      </c>
      <c r="M28" s="101">
        <f>SUM(M18:M27)</f>
        <v>0</v>
      </c>
      <c r="N28" s="101">
        <f>SUM(N18:N27)</f>
        <v>348038</v>
      </c>
      <c r="O28" s="131"/>
    </row>
    <row r="29" spans="1:15" ht="22.5" customHeight="1" thickBot="1">
      <c r="A29" s="127" t="s">
        <v>74</v>
      </c>
      <c r="B29" s="132" t="s">
        <v>514</v>
      </c>
      <c r="C29" s="116">
        <f>SUM(C28+C18+C17)</f>
        <v>1621810</v>
      </c>
      <c r="D29" s="115">
        <f>SUM(D28+D18+D17)</f>
        <v>1207095</v>
      </c>
      <c r="E29" s="116">
        <f>SUM(E28+E18+E17)</f>
        <v>2722256</v>
      </c>
      <c r="F29" s="116">
        <f>SUM(F28+F18+F17)</f>
        <v>3062997</v>
      </c>
      <c r="G29" s="116">
        <f>SUM(G28+G18+G17)</f>
        <v>1106096</v>
      </c>
      <c r="H29" s="117">
        <f>G29/F29*100</f>
        <v>36.111560017851794</v>
      </c>
      <c r="I29" s="132" t="s">
        <v>515</v>
      </c>
      <c r="J29" s="116">
        <f>SUM(J28,J17)</f>
        <v>451587</v>
      </c>
      <c r="K29" s="115">
        <f>SUM(K28,K17)</f>
        <v>1295584</v>
      </c>
      <c r="L29" s="116">
        <f>SUM(L28,L17)</f>
        <v>2722256</v>
      </c>
      <c r="M29" s="116">
        <f>SUM(M28,M17)</f>
        <v>3062544</v>
      </c>
      <c r="N29" s="116">
        <f>SUM(N28,N17)</f>
        <v>1227609</v>
      </c>
      <c r="O29" s="117">
        <f>N29/M29*100</f>
        <v>40.084615927150764</v>
      </c>
    </row>
    <row r="30" spans="1:15" ht="16.5" customHeight="1" thickBot="1">
      <c r="A30" s="127" t="s">
        <v>76</v>
      </c>
      <c r="B30" s="133" t="s">
        <v>272</v>
      </c>
      <c r="C30" s="101"/>
      <c r="D30" s="100">
        <f>SUM(K17-D17)</f>
        <v>165405</v>
      </c>
      <c r="E30" s="101">
        <f>SUM(L17-E17)</f>
        <v>1000000</v>
      </c>
      <c r="F30" s="101">
        <f>SUM(M17-F17)</f>
        <v>1327462</v>
      </c>
      <c r="G30" s="101"/>
      <c r="H30" s="134"/>
      <c r="I30" s="133" t="s">
        <v>273</v>
      </c>
      <c r="J30" s="101">
        <f>SUM(C17-J17)</f>
        <v>89002</v>
      </c>
      <c r="K30" s="100"/>
      <c r="L30" s="101"/>
      <c r="M30" s="101"/>
      <c r="N30" s="101">
        <f>SUM(G17-N17)</f>
        <v>76415</v>
      </c>
      <c r="O30" s="134"/>
    </row>
  </sheetData>
  <sheetProtection/>
  <mergeCells count="1">
    <mergeCell ref="N1:O1"/>
  </mergeCells>
  <printOptions horizontalCentered="1" verticalCentered="1"/>
  <pageMargins left="0.39375" right="0.39375" top="0.7597222222222222" bottom="0.19652777777777777" header="0.39375" footer="0.5118055555555555"/>
  <pageSetup fitToHeight="1" fitToWidth="1" horizontalDpi="300" verticalDpi="300" orientation="landscape" paperSize="9" r:id="rId1"/>
  <headerFooter alignWithMargins="0">
    <oddHeader>&amp;L&amp;8  5. melléklet a …/…..(….) III.negyedéves tájékoztatóhoz&amp;C&amp;"Arial CE,Félkövér"&amp;11Felhalmozási célú bevételek és kiadások mérlege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O20"/>
  <sheetViews>
    <sheetView zoomScale="75" zoomScaleNormal="75" zoomScalePageLayoutView="0" workbookViewId="0" topLeftCell="A3">
      <pane ySplit="4" topLeftCell="BM7" activePane="bottomLeft" state="frozen"/>
      <selection pane="topLeft" activeCell="G37" sqref="G37"/>
      <selection pane="bottomLeft" activeCell="D18" sqref="D18"/>
    </sheetView>
  </sheetViews>
  <sheetFormatPr defaultColWidth="9.00390625" defaultRowHeight="12.75"/>
  <cols>
    <col min="1" max="1" width="37.875" style="0" customWidth="1"/>
    <col min="2" max="2" width="12.75390625" style="135" bestFit="1" customWidth="1"/>
    <col min="3" max="3" width="12.125" style="135" bestFit="1" customWidth="1"/>
    <col min="4" max="4" width="12.125" style="150" customWidth="1"/>
    <col min="5" max="5" width="7.375" style="136" customWidth="1"/>
    <col min="6" max="6" width="12.75390625" style="135" bestFit="1" customWidth="1"/>
    <col min="7" max="7" width="11.875" style="135" customWidth="1"/>
    <col min="8" max="8" width="12.00390625" style="135" customWidth="1"/>
    <col min="9" max="9" width="6.375" style="136" customWidth="1"/>
    <col min="10" max="10" width="12.75390625" style="135" bestFit="1" customWidth="1"/>
    <col min="11" max="12" width="12.125" style="135" bestFit="1" customWidth="1"/>
    <col min="13" max="13" width="6.875" style="136" customWidth="1"/>
  </cols>
  <sheetData>
    <row r="4" spans="12:13" ht="13.5" thickBot="1">
      <c r="L4" s="137"/>
      <c r="M4" s="138"/>
    </row>
    <row r="5" spans="1:13" s="139" customFormat="1" ht="24.75" customHeight="1" thickBot="1">
      <c r="A5" s="424"/>
      <c r="B5" s="493" t="s">
        <v>305</v>
      </c>
      <c r="C5" s="494"/>
      <c r="D5" s="494"/>
      <c r="E5" s="439"/>
      <c r="F5" s="493" t="s">
        <v>306</v>
      </c>
      <c r="G5" s="494"/>
      <c r="H5" s="494"/>
      <c r="I5" s="439"/>
      <c r="J5" s="493" t="s">
        <v>307</v>
      </c>
      <c r="K5" s="494"/>
      <c r="L5" s="494"/>
      <c r="M5" s="439"/>
    </row>
    <row r="6" spans="1:13" s="335" customFormat="1" ht="41.25" customHeight="1" thickBot="1">
      <c r="A6" s="425" t="s">
        <v>308</v>
      </c>
      <c r="B6" s="140" t="s">
        <v>309</v>
      </c>
      <c r="C6" s="141" t="s">
        <v>486</v>
      </c>
      <c r="D6" s="461" t="s">
        <v>454</v>
      </c>
      <c r="E6" s="334" t="s">
        <v>29</v>
      </c>
      <c r="F6" s="140" t="s">
        <v>309</v>
      </c>
      <c r="G6" s="141" t="s">
        <v>486</v>
      </c>
      <c r="H6" s="141" t="s">
        <v>454</v>
      </c>
      <c r="I6" s="334" t="s">
        <v>29</v>
      </c>
      <c r="J6" s="140" t="s">
        <v>309</v>
      </c>
      <c r="K6" s="141" t="s">
        <v>486</v>
      </c>
      <c r="L6" s="141" t="s">
        <v>454</v>
      </c>
      <c r="M6" s="334" t="s">
        <v>29</v>
      </c>
    </row>
    <row r="7" spans="1:13" ht="21" customHeight="1">
      <c r="A7" s="336" t="s">
        <v>5</v>
      </c>
      <c r="B7" s="344">
        <v>56135</v>
      </c>
      <c r="C7" s="345">
        <v>58188</v>
      </c>
      <c r="D7" s="345">
        <v>35878</v>
      </c>
      <c r="E7" s="346">
        <f aca="true" t="shared" si="0" ref="E7:E18">D7/C7*100</f>
        <v>61.658761256616486</v>
      </c>
      <c r="F7" s="344">
        <v>56135</v>
      </c>
      <c r="G7" s="345">
        <v>58188</v>
      </c>
      <c r="H7" s="345">
        <v>35278</v>
      </c>
      <c r="I7" s="346">
        <f aca="true" t="shared" si="1" ref="I7:I18">H7/G7*100</f>
        <v>60.627620815288374</v>
      </c>
      <c r="J7" s="344">
        <v>31440</v>
      </c>
      <c r="K7" s="345">
        <v>31440</v>
      </c>
      <c r="L7" s="345">
        <v>22406</v>
      </c>
      <c r="M7" s="346">
        <f aca="true" t="shared" si="2" ref="M7:M18">L7/K7*100</f>
        <v>71.26590330788804</v>
      </c>
    </row>
    <row r="8" spans="1:15" ht="21" customHeight="1">
      <c r="A8" s="337" t="s">
        <v>7</v>
      </c>
      <c r="B8" s="142">
        <v>65519</v>
      </c>
      <c r="C8" s="143">
        <v>75722</v>
      </c>
      <c r="D8" s="143">
        <v>111082</v>
      </c>
      <c r="E8" s="144">
        <f t="shared" si="0"/>
        <v>146.69712897176515</v>
      </c>
      <c r="F8" s="142">
        <v>65519</v>
      </c>
      <c r="G8" s="143">
        <v>75722</v>
      </c>
      <c r="H8" s="143">
        <v>120005</v>
      </c>
      <c r="I8" s="144">
        <f t="shared" si="1"/>
        <v>158.48102268825443</v>
      </c>
      <c r="J8" s="142">
        <v>32955</v>
      </c>
      <c r="K8" s="143">
        <v>33222</v>
      </c>
      <c r="L8" s="143">
        <v>27073</v>
      </c>
      <c r="M8" s="144">
        <f t="shared" si="2"/>
        <v>81.49118054301367</v>
      </c>
      <c r="O8" s="145"/>
    </row>
    <row r="9" spans="1:13" ht="21" customHeight="1">
      <c r="A9" s="337" t="s">
        <v>9</v>
      </c>
      <c r="B9" s="142">
        <v>130000</v>
      </c>
      <c r="C9" s="143">
        <v>157363</v>
      </c>
      <c r="D9" s="143">
        <v>132192</v>
      </c>
      <c r="E9" s="144">
        <f t="shared" si="0"/>
        <v>84.00449915164302</v>
      </c>
      <c r="F9" s="142">
        <v>130000</v>
      </c>
      <c r="G9" s="143">
        <v>157363</v>
      </c>
      <c r="H9" s="143">
        <v>105837</v>
      </c>
      <c r="I9" s="144">
        <f t="shared" si="1"/>
        <v>67.25659780253301</v>
      </c>
      <c r="J9" s="142">
        <v>64377</v>
      </c>
      <c r="K9" s="143">
        <v>69377</v>
      </c>
      <c r="L9" s="143">
        <v>44494</v>
      </c>
      <c r="M9" s="144">
        <f t="shared" si="2"/>
        <v>64.13364659757556</v>
      </c>
    </row>
    <row r="10" spans="1:13" ht="21" customHeight="1">
      <c r="A10" s="338" t="s">
        <v>13</v>
      </c>
      <c r="B10" s="142">
        <v>231427</v>
      </c>
      <c r="C10" s="143">
        <v>236748</v>
      </c>
      <c r="D10" s="143">
        <v>111723</v>
      </c>
      <c r="E10" s="144">
        <f t="shared" si="0"/>
        <v>47.19068376501597</v>
      </c>
      <c r="F10" s="142">
        <v>231427</v>
      </c>
      <c r="G10" s="143">
        <v>236748</v>
      </c>
      <c r="H10" s="143">
        <v>113861</v>
      </c>
      <c r="I10" s="144">
        <f t="shared" si="1"/>
        <v>48.09375369591295</v>
      </c>
      <c r="J10" s="142">
        <v>156998</v>
      </c>
      <c r="K10" s="143">
        <v>158572</v>
      </c>
      <c r="L10" s="143">
        <v>79018</v>
      </c>
      <c r="M10" s="144">
        <f t="shared" si="2"/>
        <v>49.83099160003027</v>
      </c>
    </row>
    <row r="11" spans="1:13" ht="21" customHeight="1">
      <c r="A11" s="338" t="s">
        <v>14</v>
      </c>
      <c r="B11" s="142">
        <v>323436</v>
      </c>
      <c r="C11" s="143">
        <v>327794</v>
      </c>
      <c r="D11" s="143">
        <v>155837</v>
      </c>
      <c r="E11" s="144">
        <f t="shared" si="0"/>
        <v>47.54113864195196</v>
      </c>
      <c r="F11" s="142">
        <v>323436</v>
      </c>
      <c r="G11" s="143">
        <v>327794</v>
      </c>
      <c r="H11" s="143">
        <v>154845</v>
      </c>
      <c r="I11" s="144">
        <f t="shared" si="1"/>
        <v>47.238509551730665</v>
      </c>
      <c r="J11" s="142">
        <v>195655</v>
      </c>
      <c r="K11" s="143">
        <v>195655</v>
      </c>
      <c r="L11" s="143">
        <v>99088</v>
      </c>
      <c r="M11" s="144">
        <f t="shared" si="2"/>
        <v>50.644246249776394</v>
      </c>
    </row>
    <row r="12" spans="1:13" ht="21" customHeight="1">
      <c r="A12" s="338" t="s">
        <v>15</v>
      </c>
      <c r="B12" s="142">
        <v>66127</v>
      </c>
      <c r="C12" s="143">
        <v>66577</v>
      </c>
      <c r="D12" s="143">
        <v>49907</v>
      </c>
      <c r="E12" s="144">
        <f t="shared" si="0"/>
        <v>74.96132297940731</v>
      </c>
      <c r="F12" s="142">
        <v>66127</v>
      </c>
      <c r="G12" s="143">
        <v>66577</v>
      </c>
      <c r="H12" s="143">
        <v>41146</v>
      </c>
      <c r="I12" s="144">
        <f t="shared" si="1"/>
        <v>61.80212385658711</v>
      </c>
      <c r="J12" s="142">
        <v>9314</v>
      </c>
      <c r="K12" s="143">
        <v>9314</v>
      </c>
      <c r="L12" s="143">
        <v>10746</v>
      </c>
      <c r="M12" s="144">
        <f t="shared" si="2"/>
        <v>115.37470474554435</v>
      </c>
    </row>
    <row r="13" spans="1:13" ht="24.75" customHeight="1" thickBot="1">
      <c r="A13" s="339" t="s">
        <v>310</v>
      </c>
      <c r="B13" s="347">
        <f>SUM(B7:B12)</f>
        <v>872644</v>
      </c>
      <c r="C13" s="348">
        <f>SUM(C7:C12)</f>
        <v>922392</v>
      </c>
      <c r="D13" s="348">
        <f>SUM(D7:D12)</f>
        <v>596619</v>
      </c>
      <c r="E13" s="349">
        <f t="shared" si="0"/>
        <v>64.68171883537585</v>
      </c>
      <c r="F13" s="347">
        <f>SUM(F7:F12)</f>
        <v>872644</v>
      </c>
      <c r="G13" s="348">
        <f>SUM(G7:G12)</f>
        <v>922392</v>
      </c>
      <c r="H13" s="348">
        <f>SUM(H7:H12)</f>
        <v>570972</v>
      </c>
      <c r="I13" s="349">
        <f t="shared" si="1"/>
        <v>61.90123071318918</v>
      </c>
      <c r="J13" s="347">
        <f>SUM(J7:J12)</f>
        <v>490739</v>
      </c>
      <c r="K13" s="348">
        <f>SUM(K7:K12)</f>
        <v>497580</v>
      </c>
      <c r="L13" s="348">
        <f>SUM(L7:L12)</f>
        <v>282825</v>
      </c>
      <c r="M13" s="349">
        <f t="shared" si="2"/>
        <v>56.84010611358977</v>
      </c>
    </row>
    <row r="14" spans="1:13" ht="21" customHeight="1">
      <c r="A14" s="340" t="s">
        <v>460</v>
      </c>
      <c r="B14" s="350">
        <v>760535</v>
      </c>
      <c r="C14" s="351">
        <v>788935</v>
      </c>
      <c r="D14" s="351">
        <v>483730</v>
      </c>
      <c r="E14" s="346">
        <f t="shared" si="0"/>
        <v>61.31430345972735</v>
      </c>
      <c r="F14" s="350">
        <v>760535</v>
      </c>
      <c r="G14" s="351">
        <v>788935</v>
      </c>
      <c r="H14" s="351">
        <v>480903</v>
      </c>
      <c r="I14" s="346">
        <f t="shared" si="1"/>
        <v>60.95597229176041</v>
      </c>
      <c r="J14" s="350">
        <v>220146</v>
      </c>
      <c r="K14" s="351">
        <v>221896</v>
      </c>
      <c r="L14" s="351">
        <v>167362</v>
      </c>
      <c r="M14" s="346">
        <f t="shared" si="2"/>
        <v>75.42362187691532</v>
      </c>
    </row>
    <row r="15" spans="1:13" ht="21" customHeight="1">
      <c r="A15" s="341" t="s">
        <v>456</v>
      </c>
      <c r="B15" s="142">
        <v>0</v>
      </c>
      <c r="C15" s="143">
        <v>0</v>
      </c>
      <c r="D15" s="143">
        <v>604</v>
      </c>
      <c r="E15" s="144"/>
      <c r="F15" s="142">
        <v>0</v>
      </c>
      <c r="G15" s="143">
        <v>0</v>
      </c>
      <c r="H15" s="143">
        <v>493</v>
      </c>
      <c r="I15" s="144"/>
      <c r="J15" s="142">
        <v>0</v>
      </c>
      <c r="K15" s="143">
        <v>0</v>
      </c>
      <c r="L15" s="143">
        <v>0</v>
      </c>
      <c r="M15" s="144"/>
    </row>
    <row r="16" spans="1:13" s="358" customFormat="1" ht="21" customHeight="1" thickBot="1">
      <c r="A16" s="355" t="s">
        <v>457</v>
      </c>
      <c r="B16" s="356">
        <f>SUM(B14:B15)</f>
        <v>760535</v>
      </c>
      <c r="C16" s="357">
        <f aca="true" t="shared" si="3" ref="C16:L16">SUM(C14:C15)</f>
        <v>788935</v>
      </c>
      <c r="D16" s="357">
        <f t="shared" si="3"/>
        <v>484334</v>
      </c>
      <c r="E16" s="349">
        <f t="shared" si="0"/>
        <v>61.39086236508711</v>
      </c>
      <c r="F16" s="356">
        <f t="shared" si="3"/>
        <v>760535</v>
      </c>
      <c r="G16" s="357">
        <f>SUM(G14:G15)</f>
        <v>788935</v>
      </c>
      <c r="H16" s="357">
        <f t="shared" si="3"/>
        <v>481396</v>
      </c>
      <c r="I16" s="349">
        <f t="shared" si="1"/>
        <v>61.01846159696299</v>
      </c>
      <c r="J16" s="356">
        <f t="shared" si="3"/>
        <v>220146</v>
      </c>
      <c r="K16" s="357">
        <f t="shared" si="3"/>
        <v>221896</v>
      </c>
      <c r="L16" s="357">
        <f t="shared" si="3"/>
        <v>167362</v>
      </c>
      <c r="M16" s="349">
        <f t="shared" si="2"/>
        <v>75.42362187691532</v>
      </c>
    </row>
    <row r="17" spans="1:13" ht="21" customHeight="1" thickBot="1">
      <c r="A17" s="342" t="s">
        <v>11</v>
      </c>
      <c r="B17" s="352">
        <v>4257778</v>
      </c>
      <c r="C17" s="353">
        <v>4689963</v>
      </c>
      <c r="D17" s="353">
        <f>4365404-111589-139157</f>
        <v>4114658</v>
      </c>
      <c r="E17" s="354">
        <f t="shared" si="0"/>
        <v>87.73327209617645</v>
      </c>
      <c r="F17" s="352">
        <v>4257778</v>
      </c>
      <c r="G17" s="353">
        <v>4689963</v>
      </c>
      <c r="H17" s="353">
        <v>3789501</v>
      </c>
      <c r="I17" s="354">
        <f t="shared" si="1"/>
        <v>80.80023232592667</v>
      </c>
      <c r="J17" s="352">
        <v>351974</v>
      </c>
      <c r="K17" s="353">
        <v>352974</v>
      </c>
      <c r="L17" s="353">
        <v>213644</v>
      </c>
      <c r="M17" s="354">
        <f t="shared" si="2"/>
        <v>60.52683767076329</v>
      </c>
    </row>
    <row r="18" spans="1:13" ht="24.75" customHeight="1" thickBot="1">
      <c r="A18" s="343" t="s">
        <v>311</v>
      </c>
      <c r="B18" s="146">
        <f>SUM(B13+B16+B17)</f>
        <v>5890957</v>
      </c>
      <c r="C18" s="147">
        <f aca="true" t="shared" si="4" ref="C18:L18">SUM(C13+C16+C17)</f>
        <v>6401290</v>
      </c>
      <c r="D18" s="147">
        <f t="shared" si="4"/>
        <v>5195611</v>
      </c>
      <c r="E18" s="423">
        <f t="shared" si="0"/>
        <v>81.16506204218213</v>
      </c>
      <c r="F18" s="146">
        <f t="shared" si="4"/>
        <v>5890957</v>
      </c>
      <c r="G18" s="147">
        <f>SUM(G13+G16+G17)</f>
        <v>6401290</v>
      </c>
      <c r="H18" s="147">
        <f t="shared" si="4"/>
        <v>4841869</v>
      </c>
      <c r="I18" s="423">
        <f t="shared" si="1"/>
        <v>75.63895714769991</v>
      </c>
      <c r="J18" s="146">
        <f t="shared" si="4"/>
        <v>1062859</v>
      </c>
      <c r="K18" s="147">
        <f t="shared" si="4"/>
        <v>1072450</v>
      </c>
      <c r="L18" s="147">
        <f t="shared" si="4"/>
        <v>663831</v>
      </c>
      <c r="M18" s="423">
        <f t="shared" si="2"/>
        <v>61.898550048953325</v>
      </c>
    </row>
    <row r="19" spans="1:8" ht="15.75">
      <c r="A19" s="148"/>
      <c r="D19" s="149"/>
      <c r="H19" s="149"/>
    </row>
    <row r="20" ht="12.75">
      <c r="H20" s="150"/>
    </row>
  </sheetData>
  <sheetProtection/>
  <mergeCells count="3">
    <mergeCell ref="B5:E5"/>
    <mergeCell ref="F5:I5"/>
    <mergeCell ref="J5:M5"/>
  </mergeCells>
  <printOptions horizontalCentered="1"/>
  <pageMargins left="0.35" right="0.34" top="0.78" bottom="0.55" header="0.38" footer="0.37"/>
  <pageSetup horizontalDpi="600" verticalDpi="600" orientation="landscape" paperSize="9" scale="84" r:id="rId1"/>
  <headerFooter alignWithMargins="0">
    <oddHeader>&amp;L&amp;9 6. melléklet a .../...(....) III.negyedéves tájékoztatóhoz&amp;C&amp;"Arial CE,Félkövér"&amp;12
Önállóan működő és gazdálkodó költségvetési szervek 2013. III. negyedévi bevételei és kiadásai részletezése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K23"/>
  <sheetViews>
    <sheetView zoomScalePageLayoutView="0" workbookViewId="0" topLeftCell="A1">
      <pane xSplit="1" ySplit="5" topLeftCell="B6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C16" sqref="C16"/>
    </sheetView>
  </sheetViews>
  <sheetFormatPr defaultColWidth="9.00390625" defaultRowHeight="12.75"/>
  <cols>
    <col min="1" max="1" width="33.625" style="0" customWidth="1"/>
    <col min="2" max="2" width="12.75390625" style="0" customWidth="1"/>
    <col min="3" max="3" width="11.625" style="0" bestFit="1" customWidth="1"/>
    <col min="4" max="4" width="10.25390625" style="0" customWidth="1"/>
    <col min="5" max="5" width="11.375" style="0" customWidth="1"/>
    <col min="6" max="6" width="11.125" style="0" bestFit="1" customWidth="1"/>
    <col min="7" max="7" width="11.00390625" style="0" bestFit="1" customWidth="1"/>
    <col min="8" max="8" width="10.75390625" style="0" bestFit="1" customWidth="1"/>
    <col min="9" max="9" width="9.00390625" style="0" customWidth="1"/>
    <col min="10" max="10" width="11.625" style="0" customWidth="1"/>
    <col min="11" max="11" width="12.125" style="0" bestFit="1" customWidth="1"/>
  </cols>
  <sheetData>
    <row r="4" spans="9:10" s="135" customFormat="1" ht="13.5" thickBot="1">
      <c r="I4" s="495" t="s">
        <v>312</v>
      </c>
      <c r="J4" s="496"/>
    </row>
    <row r="5" spans="1:10" s="135" customFormat="1" ht="57.75" thickBot="1">
      <c r="A5" s="398" t="s">
        <v>308</v>
      </c>
      <c r="B5" s="399" t="s">
        <v>313</v>
      </c>
      <c r="C5" s="399" t="s">
        <v>314</v>
      </c>
      <c r="D5" s="399" t="s">
        <v>315</v>
      </c>
      <c r="E5" s="399" t="s">
        <v>316</v>
      </c>
      <c r="F5" s="399" t="s">
        <v>317</v>
      </c>
      <c r="G5" s="399" t="s">
        <v>318</v>
      </c>
      <c r="H5" s="399" t="s">
        <v>319</v>
      </c>
      <c r="I5" s="399" t="s">
        <v>320</v>
      </c>
      <c r="J5" s="400" t="s">
        <v>310</v>
      </c>
    </row>
    <row r="6" spans="1:11" s="135" customFormat="1" ht="15.75" customHeight="1">
      <c r="A6" s="151" t="s">
        <v>5</v>
      </c>
      <c r="B6" s="152">
        <v>968</v>
      </c>
      <c r="C6" s="152">
        <v>3403</v>
      </c>
      <c r="D6" s="152">
        <v>507</v>
      </c>
      <c r="E6" s="153">
        <v>32168</v>
      </c>
      <c r="F6" s="152">
        <v>0</v>
      </c>
      <c r="G6" s="153">
        <v>2053</v>
      </c>
      <c r="H6" s="152">
        <v>0</v>
      </c>
      <c r="I6" s="153">
        <v>-3221</v>
      </c>
      <c r="J6" s="154">
        <f aca="true" t="shared" si="0" ref="J6:J11">SUM(B6:I6)</f>
        <v>35878</v>
      </c>
      <c r="K6" s="155"/>
    </row>
    <row r="7" spans="1:11" s="135" customFormat="1" ht="15.75" customHeight="1">
      <c r="A7" s="156" t="s">
        <v>7</v>
      </c>
      <c r="B7" s="157">
        <v>19008</v>
      </c>
      <c r="C7" s="157">
        <v>70944</v>
      </c>
      <c r="D7" s="157">
        <v>0</v>
      </c>
      <c r="E7" s="157">
        <v>30764</v>
      </c>
      <c r="F7" s="157">
        <v>0</v>
      </c>
      <c r="G7" s="157">
        <v>719</v>
      </c>
      <c r="H7" s="157">
        <v>0</v>
      </c>
      <c r="I7" s="157">
        <v>-10353</v>
      </c>
      <c r="J7" s="158">
        <f t="shared" si="0"/>
        <v>111082</v>
      </c>
      <c r="K7" s="155"/>
    </row>
    <row r="8" spans="1:11" s="150" customFormat="1" ht="15.75" customHeight="1">
      <c r="A8" s="159" t="s">
        <v>9</v>
      </c>
      <c r="B8" s="157">
        <v>3124</v>
      </c>
      <c r="C8" s="157">
        <v>101626</v>
      </c>
      <c r="D8" s="157">
        <v>0</v>
      </c>
      <c r="E8" s="157">
        <v>0</v>
      </c>
      <c r="F8" s="157">
        <v>0</v>
      </c>
      <c r="G8" s="157">
        <v>27363</v>
      </c>
      <c r="H8" s="157">
        <v>0</v>
      </c>
      <c r="I8" s="157">
        <v>79</v>
      </c>
      <c r="J8" s="160">
        <f t="shared" si="0"/>
        <v>132192</v>
      </c>
      <c r="K8" s="161"/>
    </row>
    <row r="9" spans="1:10" s="135" customFormat="1" ht="15.75" customHeight="1">
      <c r="A9" s="162" t="s">
        <v>13</v>
      </c>
      <c r="B9" s="157">
        <v>134</v>
      </c>
      <c r="C9" s="157">
        <v>0</v>
      </c>
      <c r="D9" s="157">
        <v>0</v>
      </c>
      <c r="E9" s="157">
        <v>111589</v>
      </c>
      <c r="F9" s="157">
        <v>0</v>
      </c>
      <c r="G9" s="157">
        <v>0</v>
      </c>
      <c r="H9" s="157">
        <v>0</v>
      </c>
      <c r="I9" s="157">
        <v>0</v>
      </c>
      <c r="J9" s="160">
        <f t="shared" si="0"/>
        <v>111723</v>
      </c>
    </row>
    <row r="10" spans="1:10" s="135" customFormat="1" ht="15.75" customHeight="1">
      <c r="A10" s="162" t="s">
        <v>14</v>
      </c>
      <c r="B10" s="157">
        <v>15553</v>
      </c>
      <c r="C10" s="157">
        <v>1124</v>
      </c>
      <c r="D10" s="157">
        <v>0</v>
      </c>
      <c r="E10" s="157">
        <v>139157</v>
      </c>
      <c r="F10" s="157">
        <v>0</v>
      </c>
      <c r="G10" s="157">
        <v>0</v>
      </c>
      <c r="H10" s="157">
        <v>0</v>
      </c>
      <c r="I10" s="157">
        <v>3</v>
      </c>
      <c r="J10" s="160">
        <f t="shared" si="0"/>
        <v>155837</v>
      </c>
    </row>
    <row r="11" spans="1:10" s="135" customFormat="1" ht="15.75" customHeight="1" thickBot="1">
      <c r="A11" s="163" t="s">
        <v>15</v>
      </c>
      <c r="B11" s="164">
        <v>3345</v>
      </c>
      <c r="C11" s="164">
        <v>23638</v>
      </c>
      <c r="D11" s="164">
        <v>5196</v>
      </c>
      <c r="E11" s="164">
        <v>9713</v>
      </c>
      <c r="F11" s="164">
        <v>0</v>
      </c>
      <c r="G11" s="164">
        <v>0</v>
      </c>
      <c r="H11" s="164">
        <v>0</v>
      </c>
      <c r="I11" s="164">
        <v>8015</v>
      </c>
      <c r="J11" s="165">
        <f t="shared" si="0"/>
        <v>49907</v>
      </c>
    </row>
    <row r="12" spans="1:10" s="135" customFormat="1" ht="15.75" customHeight="1" thickBot="1">
      <c r="A12" s="166" t="s">
        <v>310</v>
      </c>
      <c r="B12" s="167">
        <f aca="true" t="shared" si="1" ref="B12:J12">SUM(B6:B11)</f>
        <v>42132</v>
      </c>
      <c r="C12" s="167">
        <f t="shared" si="1"/>
        <v>200735</v>
      </c>
      <c r="D12" s="167">
        <f t="shared" si="1"/>
        <v>5703</v>
      </c>
      <c r="E12" s="167">
        <f t="shared" si="1"/>
        <v>323391</v>
      </c>
      <c r="F12" s="167">
        <f t="shared" si="1"/>
        <v>0</v>
      </c>
      <c r="G12" s="167">
        <f t="shared" si="1"/>
        <v>30135</v>
      </c>
      <c r="H12" s="167">
        <f t="shared" si="1"/>
        <v>0</v>
      </c>
      <c r="I12" s="167">
        <f t="shared" si="1"/>
        <v>-5477</v>
      </c>
      <c r="J12" s="168">
        <f t="shared" si="1"/>
        <v>596619</v>
      </c>
    </row>
    <row r="13" spans="1:10" s="135" customFormat="1" ht="15.75" customHeight="1">
      <c r="A13" s="169" t="s">
        <v>460</v>
      </c>
      <c r="B13" s="153">
        <v>21941</v>
      </c>
      <c r="C13" s="152">
        <v>900</v>
      </c>
      <c r="D13" s="152"/>
      <c r="E13" s="152">
        <v>444053</v>
      </c>
      <c r="F13" s="152">
        <v>0</v>
      </c>
      <c r="G13" s="152">
        <v>2711</v>
      </c>
      <c r="H13" s="152">
        <v>0</v>
      </c>
      <c r="I13" s="152">
        <v>14125</v>
      </c>
      <c r="J13" s="154">
        <f>SUM(B13:I13)</f>
        <v>483730</v>
      </c>
    </row>
    <row r="14" spans="1:10" s="135" customFormat="1" ht="15.75" customHeight="1" thickBot="1">
      <c r="A14" s="170" t="s">
        <v>456</v>
      </c>
      <c r="B14" s="164">
        <v>0</v>
      </c>
      <c r="C14" s="171">
        <v>604</v>
      </c>
      <c r="D14" s="171"/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65">
        <f>SUM(B14:I14)</f>
        <v>604</v>
      </c>
    </row>
    <row r="15" spans="1:10" s="135" customFormat="1" ht="15.75" customHeight="1" thickBot="1">
      <c r="A15" s="172" t="s">
        <v>457</v>
      </c>
      <c r="B15" s="167">
        <f>SUM(B13:B14)</f>
        <v>21941</v>
      </c>
      <c r="C15" s="167">
        <f aca="true" t="shared" si="2" ref="C15:J15">SUM(C13:C14)</f>
        <v>1504</v>
      </c>
      <c r="D15" s="167">
        <f t="shared" si="2"/>
        <v>0</v>
      </c>
      <c r="E15" s="167">
        <f t="shared" si="2"/>
        <v>444053</v>
      </c>
      <c r="F15" s="167">
        <f t="shared" si="2"/>
        <v>0</v>
      </c>
      <c r="G15" s="167">
        <f t="shared" si="2"/>
        <v>2711</v>
      </c>
      <c r="H15" s="167">
        <f t="shared" si="2"/>
        <v>0</v>
      </c>
      <c r="I15" s="167">
        <f t="shared" si="2"/>
        <v>14125</v>
      </c>
      <c r="J15" s="168">
        <f t="shared" si="2"/>
        <v>484334</v>
      </c>
    </row>
    <row r="16" spans="1:10" s="135" customFormat="1" ht="15.75" customHeight="1" thickBot="1">
      <c r="A16" s="401" t="s">
        <v>11</v>
      </c>
      <c r="B16" s="402">
        <f>1300608-1164</f>
        <v>1299444</v>
      </c>
      <c r="C16" s="403">
        <f>309794-929+465-12373</f>
        <v>296957</v>
      </c>
      <c r="D16" s="403">
        <f>937211-465+1164+12373</f>
        <v>950283</v>
      </c>
      <c r="E16" s="403">
        <v>858788</v>
      </c>
      <c r="F16" s="403">
        <v>929</v>
      </c>
      <c r="G16" s="403">
        <v>150110</v>
      </c>
      <c r="H16" s="403">
        <v>1298969</v>
      </c>
      <c r="I16" s="403">
        <v>26622</v>
      </c>
      <c r="J16" s="404">
        <f>SUM(B16:I16)</f>
        <v>4882102</v>
      </c>
    </row>
    <row r="17" spans="1:10" s="135" customFormat="1" ht="15.75" customHeight="1" thickBot="1">
      <c r="A17" s="173" t="s">
        <v>311</v>
      </c>
      <c r="B17" s="174">
        <f>SUM(B12,B15,B16)</f>
        <v>1363517</v>
      </c>
      <c r="C17" s="174">
        <f>SUM(C12,C15,C16)</f>
        <v>499196</v>
      </c>
      <c r="D17" s="174">
        <f aca="true" t="shared" si="3" ref="D17:J17">SUM(D12,D15,D16)</f>
        <v>955986</v>
      </c>
      <c r="E17" s="174">
        <f t="shared" si="3"/>
        <v>1626232</v>
      </c>
      <c r="F17" s="174">
        <f t="shared" si="3"/>
        <v>929</v>
      </c>
      <c r="G17" s="174">
        <f t="shared" si="3"/>
        <v>182956</v>
      </c>
      <c r="H17" s="174">
        <f t="shared" si="3"/>
        <v>1298969</v>
      </c>
      <c r="I17" s="174">
        <f t="shared" si="3"/>
        <v>35270</v>
      </c>
      <c r="J17" s="175">
        <f t="shared" si="3"/>
        <v>5963055</v>
      </c>
    </row>
    <row r="18" s="135" customFormat="1" ht="12.75">
      <c r="J18" s="150"/>
    </row>
    <row r="19" spans="3:10" s="135" customFormat="1" ht="12.75">
      <c r="C19" s="150"/>
      <c r="J19" s="150"/>
    </row>
    <row r="21" ht="12.75">
      <c r="J21" s="184"/>
    </row>
    <row r="22" ht="12.75">
      <c r="J22" s="184"/>
    </row>
    <row r="23" ht="12.75">
      <c r="G23" s="184"/>
    </row>
  </sheetData>
  <sheetProtection/>
  <mergeCells count="1">
    <mergeCell ref="I4:J4"/>
  </mergeCells>
  <printOptions horizontalCentered="1"/>
  <pageMargins left="0.17" right="0.17" top="0.66" bottom="0.65" header="0.24" footer="0.5118110236220472"/>
  <pageSetup horizontalDpi="600" verticalDpi="600" orientation="landscape" paperSize="9" scale="110" r:id="rId1"/>
  <headerFooter alignWithMargins="0">
    <oddHeader>&amp;L&amp;9 7. melléklet a .../...(....) III.negyedéves tájékoztatóhoz&amp;C&amp;"Times New Roman CE,Normál"&amp;11
&amp;"Arial CE,Félkövér"Önállóan működő és gazdálkodó költségvetési szervek 2013. III. negyedévi bevételei&amp;"Arial CE,Normál"&amp;10
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L20"/>
  <sheetViews>
    <sheetView zoomScalePageLayoutView="0" workbookViewId="0" topLeftCell="A1">
      <pane xSplit="1" ySplit="6" topLeftCell="B7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F18" sqref="F18"/>
    </sheetView>
  </sheetViews>
  <sheetFormatPr defaultColWidth="9.00390625" defaultRowHeight="12.75"/>
  <cols>
    <col min="1" max="1" width="34.625" style="0" bestFit="1" customWidth="1"/>
    <col min="2" max="3" width="10.375" style="0" customWidth="1"/>
    <col min="4" max="4" width="9.625" style="0" bestFit="1" customWidth="1"/>
    <col min="5" max="5" width="9.625" style="0" customWidth="1"/>
    <col min="6" max="6" width="10.00390625" style="0" bestFit="1" customWidth="1"/>
    <col min="7" max="7" width="10.125" style="0" customWidth="1"/>
    <col min="8" max="8" width="9.625" style="0" customWidth="1"/>
    <col min="9" max="9" width="11.125" style="0" customWidth="1"/>
    <col min="10" max="10" width="10.625" style="0" customWidth="1"/>
    <col min="11" max="11" width="9.75390625" style="0" bestFit="1" customWidth="1"/>
    <col min="12" max="12" width="11.25390625" style="0" customWidth="1"/>
  </cols>
  <sheetData>
    <row r="4" s="135" customFormat="1" ht="12.75"/>
    <row r="5" spans="5:12" s="135" customFormat="1" ht="13.5" thickBot="1">
      <c r="E5" s="176"/>
      <c r="K5" s="497" t="s">
        <v>312</v>
      </c>
      <c r="L5" s="498"/>
    </row>
    <row r="6" spans="1:12" s="135" customFormat="1" ht="64.5" thickBot="1">
      <c r="A6" s="177" t="s">
        <v>308</v>
      </c>
      <c r="B6" s="178" t="s">
        <v>321</v>
      </c>
      <c r="C6" s="178" t="s">
        <v>322</v>
      </c>
      <c r="D6" s="178" t="s">
        <v>323</v>
      </c>
      <c r="E6" s="178" t="s">
        <v>240</v>
      </c>
      <c r="F6" s="178" t="s">
        <v>324</v>
      </c>
      <c r="G6" s="178" t="s">
        <v>288</v>
      </c>
      <c r="H6" s="178" t="s">
        <v>325</v>
      </c>
      <c r="I6" s="178" t="s">
        <v>326</v>
      </c>
      <c r="J6" s="178" t="s">
        <v>327</v>
      </c>
      <c r="K6" s="179" t="s">
        <v>328</v>
      </c>
      <c r="L6" s="180" t="s">
        <v>310</v>
      </c>
    </row>
    <row r="7" spans="1:12" s="135" customFormat="1" ht="16.5" customHeight="1">
      <c r="A7" s="151" t="s">
        <v>5</v>
      </c>
      <c r="B7" s="152">
        <v>22406</v>
      </c>
      <c r="C7" s="152">
        <v>6119</v>
      </c>
      <c r="D7" s="152">
        <v>6372</v>
      </c>
      <c r="E7" s="153">
        <v>0</v>
      </c>
      <c r="F7" s="152">
        <v>0</v>
      </c>
      <c r="G7" s="153">
        <v>0</v>
      </c>
      <c r="H7" s="152">
        <v>506</v>
      </c>
      <c r="I7" s="153">
        <v>0</v>
      </c>
      <c r="J7" s="152">
        <v>0</v>
      </c>
      <c r="K7" s="152">
        <v>-125</v>
      </c>
      <c r="L7" s="181">
        <f aca="true" t="shared" si="0" ref="L7:L12">SUM(B7:K7)</f>
        <v>35278</v>
      </c>
    </row>
    <row r="8" spans="1:12" s="135" customFormat="1" ht="16.5" customHeight="1">
      <c r="A8" s="156" t="s">
        <v>7</v>
      </c>
      <c r="B8" s="157">
        <v>27073</v>
      </c>
      <c r="C8" s="157">
        <v>7142</v>
      </c>
      <c r="D8" s="157">
        <v>83805</v>
      </c>
      <c r="E8" s="157">
        <v>0</v>
      </c>
      <c r="F8" s="157">
        <v>1955</v>
      </c>
      <c r="G8" s="157">
        <v>0</v>
      </c>
      <c r="H8" s="157">
        <v>0</v>
      </c>
      <c r="I8" s="157">
        <v>0</v>
      </c>
      <c r="J8" s="157">
        <v>0</v>
      </c>
      <c r="K8" s="157">
        <v>30</v>
      </c>
      <c r="L8" s="182">
        <f t="shared" si="0"/>
        <v>120005</v>
      </c>
    </row>
    <row r="9" spans="1:12" s="135" customFormat="1" ht="16.5" customHeight="1">
      <c r="A9" s="156" t="s">
        <v>9</v>
      </c>
      <c r="B9" s="157">
        <v>44494</v>
      </c>
      <c r="C9" s="157">
        <v>10881</v>
      </c>
      <c r="D9" s="157">
        <v>52311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83">
        <v>0</v>
      </c>
      <c r="K9" s="183">
        <v>-1849</v>
      </c>
      <c r="L9" s="160">
        <f t="shared" si="0"/>
        <v>105837</v>
      </c>
    </row>
    <row r="10" spans="1:12" s="135" customFormat="1" ht="16.5" customHeight="1">
      <c r="A10" s="162" t="s">
        <v>13</v>
      </c>
      <c r="B10" s="157">
        <v>79018</v>
      </c>
      <c r="C10" s="157">
        <v>19849</v>
      </c>
      <c r="D10" s="157">
        <v>14307</v>
      </c>
      <c r="E10" s="157">
        <v>494</v>
      </c>
      <c r="F10" s="157">
        <v>98</v>
      </c>
      <c r="G10" s="157">
        <v>0</v>
      </c>
      <c r="H10" s="157">
        <v>0</v>
      </c>
      <c r="I10" s="157">
        <v>0</v>
      </c>
      <c r="J10" s="183">
        <v>0</v>
      </c>
      <c r="K10" s="183">
        <v>687</v>
      </c>
      <c r="L10" s="160">
        <f t="shared" si="0"/>
        <v>114453</v>
      </c>
    </row>
    <row r="11" spans="1:12" s="135" customFormat="1" ht="16.5" customHeight="1">
      <c r="A11" s="162" t="s">
        <v>14</v>
      </c>
      <c r="B11" s="157">
        <v>99088</v>
      </c>
      <c r="C11" s="157">
        <v>23609</v>
      </c>
      <c r="D11" s="157">
        <v>30008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83">
        <v>0</v>
      </c>
      <c r="K11" s="183">
        <v>1548</v>
      </c>
      <c r="L11" s="160">
        <f t="shared" si="0"/>
        <v>154253</v>
      </c>
    </row>
    <row r="12" spans="1:12" s="135" customFormat="1" ht="16.5" customHeight="1" thickBot="1">
      <c r="A12" s="163" t="s">
        <v>15</v>
      </c>
      <c r="B12" s="164">
        <v>10746</v>
      </c>
      <c r="C12" s="164">
        <v>2732</v>
      </c>
      <c r="D12" s="164">
        <v>11902</v>
      </c>
      <c r="E12" s="164">
        <v>0</v>
      </c>
      <c r="F12" s="164">
        <v>0</v>
      </c>
      <c r="G12" s="164">
        <v>0</v>
      </c>
      <c r="H12" s="164">
        <v>14986</v>
      </c>
      <c r="I12" s="164">
        <v>0</v>
      </c>
      <c r="J12" s="171">
        <v>0</v>
      </c>
      <c r="K12" s="171">
        <v>780</v>
      </c>
      <c r="L12" s="165">
        <f t="shared" si="0"/>
        <v>41146</v>
      </c>
    </row>
    <row r="13" spans="1:12" s="135" customFormat="1" ht="16.5" customHeight="1" thickBot="1">
      <c r="A13" s="166" t="s">
        <v>310</v>
      </c>
      <c r="B13" s="167">
        <f aca="true" t="shared" si="1" ref="B13:L13">SUM(B7:B12)</f>
        <v>282825</v>
      </c>
      <c r="C13" s="167">
        <f t="shared" si="1"/>
        <v>70332</v>
      </c>
      <c r="D13" s="167">
        <f t="shared" si="1"/>
        <v>198705</v>
      </c>
      <c r="E13" s="167">
        <f t="shared" si="1"/>
        <v>494</v>
      </c>
      <c r="F13" s="167">
        <f t="shared" si="1"/>
        <v>2053</v>
      </c>
      <c r="G13" s="167">
        <f t="shared" si="1"/>
        <v>0</v>
      </c>
      <c r="H13" s="167">
        <f t="shared" si="1"/>
        <v>15492</v>
      </c>
      <c r="I13" s="167">
        <f t="shared" si="1"/>
        <v>0</v>
      </c>
      <c r="J13" s="167">
        <f t="shared" si="1"/>
        <v>0</v>
      </c>
      <c r="K13" s="167">
        <f t="shared" si="1"/>
        <v>1071</v>
      </c>
      <c r="L13" s="168">
        <f t="shared" si="1"/>
        <v>570972</v>
      </c>
    </row>
    <row r="14" spans="1:12" s="135" customFormat="1" ht="16.5" customHeight="1">
      <c r="A14" s="169" t="s">
        <v>473</v>
      </c>
      <c r="B14" s="153">
        <v>167362</v>
      </c>
      <c r="C14" s="152">
        <v>39919</v>
      </c>
      <c r="D14" s="152">
        <v>77155</v>
      </c>
      <c r="E14" s="152">
        <v>196149</v>
      </c>
      <c r="F14" s="152"/>
      <c r="G14" s="152">
        <v>0</v>
      </c>
      <c r="H14" s="152">
        <v>0</v>
      </c>
      <c r="I14" s="152">
        <v>0</v>
      </c>
      <c r="J14" s="152">
        <v>0</v>
      </c>
      <c r="K14" s="152">
        <v>318</v>
      </c>
      <c r="L14" s="154">
        <f>SUM(B14:K14)</f>
        <v>480903</v>
      </c>
    </row>
    <row r="15" spans="1:12" s="135" customFormat="1" ht="16.5" customHeight="1" thickBot="1">
      <c r="A15" s="170" t="s">
        <v>456</v>
      </c>
      <c r="B15" s="164">
        <v>0</v>
      </c>
      <c r="C15" s="171">
        <v>0</v>
      </c>
      <c r="D15" s="171">
        <v>493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65">
        <f>SUM(B15:K15)</f>
        <v>493</v>
      </c>
    </row>
    <row r="16" spans="1:12" s="135" customFormat="1" ht="16.5" customHeight="1" thickBot="1">
      <c r="A16" s="172" t="s">
        <v>457</v>
      </c>
      <c r="B16" s="167">
        <f>SUM(B14:B15)</f>
        <v>167362</v>
      </c>
      <c r="C16" s="167">
        <f aca="true" t="shared" si="2" ref="C16:L16">SUM(C14:C15)</f>
        <v>39919</v>
      </c>
      <c r="D16" s="167">
        <f t="shared" si="2"/>
        <v>77648</v>
      </c>
      <c r="E16" s="167">
        <f t="shared" si="2"/>
        <v>196149</v>
      </c>
      <c r="F16" s="167">
        <f t="shared" si="2"/>
        <v>0</v>
      </c>
      <c r="G16" s="167">
        <f t="shared" si="2"/>
        <v>0</v>
      </c>
      <c r="H16" s="167">
        <f t="shared" si="2"/>
        <v>0</v>
      </c>
      <c r="I16" s="167">
        <f t="shared" si="2"/>
        <v>0</v>
      </c>
      <c r="J16" s="167">
        <f t="shared" si="2"/>
        <v>0</v>
      </c>
      <c r="K16" s="167">
        <f t="shared" si="2"/>
        <v>318</v>
      </c>
      <c r="L16" s="168">
        <f t="shared" si="2"/>
        <v>481396</v>
      </c>
    </row>
    <row r="17" spans="1:12" s="135" customFormat="1" ht="16.5" customHeight="1" thickBot="1">
      <c r="A17" s="401" t="s">
        <v>11</v>
      </c>
      <c r="B17" s="402">
        <v>213644</v>
      </c>
      <c r="C17" s="403">
        <v>58970</v>
      </c>
      <c r="D17" s="403">
        <f>551718-52811</f>
        <v>498907</v>
      </c>
      <c r="E17" s="403">
        <v>7149</v>
      </c>
      <c r="F17" s="403">
        <f>628683-111589-139157</f>
        <v>377937</v>
      </c>
      <c r="G17" s="403">
        <v>0</v>
      </c>
      <c r="H17" s="403">
        <f>811268+52811</f>
        <v>864079</v>
      </c>
      <c r="I17" s="403">
        <f>516698+111589+139157</f>
        <v>767444</v>
      </c>
      <c r="J17" s="403">
        <v>1821402</v>
      </c>
      <c r="K17" s="403">
        <v>-52587</v>
      </c>
      <c r="L17" s="404">
        <f>SUM(B17:K17)</f>
        <v>4556945</v>
      </c>
    </row>
    <row r="18" spans="1:12" s="135" customFormat="1" ht="16.5" customHeight="1" thickBot="1">
      <c r="A18" s="173" t="s">
        <v>311</v>
      </c>
      <c r="B18" s="174">
        <f>SUM(B13,B16,B17)</f>
        <v>663831</v>
      </c>
      <c r="C18" s="174">
        <f aca="true" t="shared" si="3" ref="C18:L18">SUM(C13,C16,C17)</f>
        <v>169221</v>
      </c>
      <c r="D18" s="174">
        <f t="shared" si="3"/>
        <v>775260</v>
      </c>
      <c r="E18" s="174">
        <f t="shared" si="3"/>
        <v>203792</v>
      </c>
      <c r="F18" s="174">
        <f t="shared" si="3"/>
        <v>379990</v>
      </c>
      <c r="G18" s="174">
        <f t="shared" si="3"/>
        <v>0</v>
      </c>
      <c r="H18" s="174">
        <f t="shared" si="3"/>
        <v>879571</v>
      </c>
      <c r="I18" s="174">
        <f t="shared" si="3"/>
        <v>767444</v>
      </c>
      <c r="J18" s="174">
        <f t="shared" si="3"/>
        <v>1821402</v>
      </c>
      <c r="K18" s="174">
        <f t="shared" si="3"/>
        <v>-51198</v>
      </c>
      <c r="L18" s="175">
        <f t="shared" si="3"/>
        <v>5609313</v>
      </c>
    </row>
    <row r="19" s="135" customFormat="1" ht="12.75"/>
    <row r="20" ht="12.75">
      <c r="L20" s="184"/>
    </row>
  </sheetData>
  <sheetProtection/>
  <mergeCells count="1">
    <mergeCell ref="K5:L5"/>
  </mergeCells>
  <printOptions horizontalCentered="1"/>
  <pageMargins left="0.18" right="0.18" top="0.984251968503937" bottom="0.3937007874015748" header="0.5118110236220472" footer="0.5118110236220472"/>
  <pageSetup horizontalDpi="600" verticalDpi="600" orientation="landscape" paperSize="9" r:id="rId1"/>
  <headerFooter alignWithMargins="0">
    <oddHeader>&amp;L&amp;9 8. melléklet a .../...(....) III.negyedéves tájékoztatóhoz&amp;C
&amp;"Arial CE,Félkövér"&amp;11Önállóan működő és gazdálkodó költségvetési szervek 2013. III. negyedévi kiadásai&amp;R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V35" sqref="V35"/>
    </sheetView>
  </sheetViews>
  <sheetFormatPr defaultColWidth="9.00390625" defaultRowHeight="12.75"/>
  <cols>
    <col min="1" max="1" width="3.75390625" style="0" customWidth="1"/>
    <col min="2" max="2" width="14.25390625" style="0" customWidth="1"/>
    <col min="3" max="3" width="7.25390625" style="0" customWidth="1"/>
    <col min="4" max="4" width="7.75390625" style="241" customWidth="1"/>
    <col min="5" max="5" width="8.00390625" style="241" customWidth="1"/>
    <col min="6" max="6" width="7.875" style="241" customWidth="1"/>
    <col min="7" max="7" width="7.75390625" style="241" customWidth="1"/>
    <col min="8" max="8" width="6.75390625" style="241" customWidth="1"/>
    <col min="9" max="9" width="6.875" style="241" customWidth="1"/>
    <col min="10" max="10" width="6.75390625" style="241" customWidth="1"/>
    <col min="11" max="11" width="6.875" style="241" customWidth="1"/>
    <col min="12" max="12" width="7.875" style="241" customWidth="1"/>
    <col min="13" max="13" width="7.00390625" style="241" customWidth="1"/>
    <col min="14" max="14" width="7.875" style="241" customWidth="1"/>
    <col min="15" max="15" width="7.75390625" style="241" customWidth="1"/>
    <col min="16" max="16" width="7.875" style="241" customWidth="1"/>
    <col min="17" max="17" width="7.125" style="241" customWidth="1"/>
    <col min="18" max="20" width="7.875" style="241" customWidth="1"/>
    <col min="21" max="21" width="7.125" style="241" customWidth="1"/>
    <col min="22" max="23" width="9.125" style="241" customWidth="1"/>
  </cols>
  <sheetData>
    <row r="1" spans="1:23" s="241" customFormat="1" ht="43.5" customHeight="1" thickBot="1">
      <c r="A1" s="499"/>
      <c r="B1" s="502" t="s">
        <v>329</v>
      </c>
      <c r="C1" s="505" t="s">
        <v>330</v>
      </c>
      <c r="D1" s="502" t="s">
        <v>230</v>
      </c>
      <c r="E1" s="522"/>
      <c r="F1" s="510"/>
      <c r="G1" s="505"/>
      <c r="H1" s="502" t="s">
        <v>322</v>
      </c>
      <c r="I1" s="522"/>
      <c r="J1" s="510"/>
      <c r="K1" s="505"/>
      <c r="L1" s="502" t="s">
        <v>501</v>
      </c>
      <c r="M1" s="522"/>
      <c r="N1" s="510"/>
      <c r="O1" s="505"/>
      <c r="P1" s="502" t="s">
        <v>323</v>
      </c>
      <c r="Q1" s="522"/>
      <c r="R1" s="510"/>
      <c r="S1" s="505"/>
      <c r="T1" s="502" t="s">
        <v>310</v>
      </c>
      <c r="U1" s="522"/>
      <c r="V1" s="510"/>
      <c r="W1" s="505"/>
    </row>
    <row r="2" spans="1:23" s="241" customFormat="1" ht="24" customHeight="1">
      <c r="A2" s="500"/>
      <c r="B2" s="503"/>
      <c r="C2" s="506"/>
      <c r="D2" s="514" t="s">
        <v>331</v>
      </c>
      <c r="E2" s="515"/>
      <c r="F2" s="510" t="s">
        <v>332</v>
      </c>
      <c r="G2" s="512" t="s">
        <v>333</v>
      </c>
      <c r="H2" s="514" t="s">
        <v>331</v>
      </c>
      <c r="I2" s="515"/>
      <c r="J2" s="510" t="s">
        <v>332</v>
      </c>
      <c r="K2" s="512" t="s">
        <v>333</v>
      </c>
      <c r="L2" s="508" t="s">
        <v>331</v>
      </c>
      <c r="M2" s="509"/>
      <c r="N2" s="510" t="s">
        <v>332</v>
      </c>
      <c r="O2" s="512" t="s">
        <v>333</v>
      </c>
      <c r="P2" s="514" t="s">
        <v>331</v>
      </c>
      <c r="Q2" s="515"/>
      <c r="R2" s="510" t="s">
        <v>332</v>
      </c>
      <c r="S2" s="512" t="s">
        <v>333</v>
      </c>
      <c r="T2" s="514" t="s">
        <v>331</v>
      </c>
      <c r="U2" s="515"/>
      <c r="V2" s="510" t="s">
        <v>332</v>
      </c>
      <c r="W2" s="512" t="s">
        <v>333</v>
      </c>
    </row>
    <row r="3" spans="1:23" s="241" customFormat="1" ht="24" customHeight="1" thickBot="1">
      <c r="A3" s="501"/>
      <c r="B3" s="504"/>
      <c r="C3" s="507"/>
      <c r="D3" s="440" t="s">
        <v>492</v>
      </c>
      <c r="E3" s="441" t="s">
        <v>493</v>
      </c>
      <c r="F3" s="511"/>
      <c r="G3" s="513"/>
      <c r="H3" s="440" t="s">
        <v>492</v>
      </c>
      <c r="I3" s="441" t="s">
        <v>493</v>
      </c>
      <c r="J3" s="511"/>
      <c r="K3" s="513"/>
      <c r="L3" s="440" t="s">
        <v>492</v>
      </c>
      <c r="M3" s="441" t="s">
        <v>493</v>
      </c>
      <c r="N3" s="511"/>
      <c r="O3" s="513"/>
      <c r="P3" s="440" t="s">
        <v>492</v>
      </c>
      <c r="Q3" s="441" t="s">
        <v>493</v>
      </c>
      <c r="R3" s="511"/>
      <c r="S3" s="513"/>
      <c r="T3" s="443" t="s">
        <v>492</v>
      </c>
      <c r="U3" s="444" t="s">
        <v>493</v>
      </c>
      <c r="V3" s="516"/>
      <c r="W3" s="517"/>
    </row>
    <row r="4" spans="1:23" ht="18" customHeight="1">
      <c r="A4" s="442" t="s">
        <v>4</v>
      </c>
      <c r="B4" s="186" t="s">
        <v>334</v>
      </c>
      <c r="C4" s="187" t="s">
        <v>335</v>
      </c>
      <c r="D4" s="194">
        <v>157970</v>
      </c>
      <c r="E4" s="188"/>
      <c r="F4" s="189">
        <v>521</v>
      </c>
      <c r="G4" s="190">
        <f>SUM(D4:F4)</f>
        <v>158491</v>
      </c>
      <c r="H4" s="191">
        <v>38088</v>
      </c>
      <c r="I4" s="436"/>
      <c r="J4" s="192">
        <v>141</v>
      </c>
      <c r="K4" s="193">
        <f>SUM(H4:J4)</f>
        <v>38229</v>
      </c>
      <c r="L4" s="194"/>
      <c r="M4" s="188"/>
      <c r="N4" s="189"/>
      <c r="O4" s="190">
        <f>SUM(L4:N4)</f>
        <v>0</v>
      </c>
      <c r="P4" s="194">
        <v>49788</v>
      </c>
      <c r="Q4" s="188"/>
      <c r="R4" s="189"/>
      <c r="S4" s="195">
        <f aca="true" t="shared" si="0" ref="S4:S32">SUM(P4:R4)</f>
        <v>49788</v>
      </c>
      <c r="T4" s="196">
        <f aca="true" t="shared" si="1" ref="T4:T32">D4+H4+L4+P4</f>
        <v>245846</v>
      </c>
      <c r="U4" s="197">
        <f aca="true" t="shared" si="2" ref="U4:U32">SUM(E4+I4+M4+Q4)</f>
        <v>0</v>
      </c>
      <c r="V4" s="197">
        <f aca="true" t="shared" si="3" ref="V4:V32">F4+J4+N4+R4</f>
        <v>662</v>
      </c>
      <c r="W4" s="198">
        <f aca="true" t="shared" si="4" ref="W4:W32">SUM(T4:V4)</f>
        <v>246508</v>
      </c>
    </row>
    <row r="5" spans="1:23" ht="18" customHeight="1">
      <c r="A5" s="435" t="s">
        <v>6</v>
      </c>
      <c r="B5" s="199" t="s">
        <v>336</v>
      </c>
      <c r="C5" s="200" t="s">
        <v>337</v>
      </c>
      <c r="D5" s="204">
        <v>2518</v>
      </c>
      <c r="E5" s="201"/>
      <c r="F5" s="202">
        <v>11316</v>
      </c>
      <c r="G5" s="203">
        <f>SUM(D5:F5)</f>
        <v>13834</v>
      </c>
      <c r="H5" s="204">
        <v>612</v>
      </c>
      <c r="I5" s="201"/>
      <c r="J5" s="202">
        <v>2564</v>
      </c>
      <c r="K5" s="205">
        <f>SUM(H5:J5)</f>
        <v>3176</v>
      </c>
      <c r="L5" s="204"/>
      <c r="M5" s="201"/>
      <c r="N5" s="202"/>
      <c r="O5" s="203">
        <f>SUM(L5:N5)</f>
        <v>0</v>
      </c>
      <c r="P5" s="204">
        <v>2438</v>
      </c>
      <c r="Q5" s="201">
        <v>493</v>
      </c>
      <c r="R5" s="202"/>
      <c r="S5" s="206">
        <f t="shared" si="0"/>
        <v>2931</v>
      </c>
      <c r="T5" s="204">
        <f t="shared" si="1"/>
        <v>5568</v>
      </c>
      <c r="U5" s="202">
        <f t="shared" si="2"/>
        <v>493</v>
      </c>
      <c r="V5" s="202">
        <f t="shared" si="3"/>
        <v>13880</v>
      </c>
      <c r="W5" s="203">
        <f t="shared" si="4"/>
        <v>19941</v>
      </c>
    </row>
    <row r="6" spans="1:23" ht="18" customHeight="1">
      <c r="A6" s="435" t="s">
        <v>8</v>
      </c>
      <c r="B6" s="199" t="s">
        <v>338</v>
      </c>
      <c r="C6" s="200">
        <v>841403</v>
      </c>
      <c r="D6" s="204">
        <v>24</v>
      </c>
      <c r="E6" s="201"/>
      <c r="F6" s="202">
        <v>58244</v>
      </c>
      <c r="G6" s="203">
        <f>SUM(D6:F6)</f>
        <v>58268</v>
      </c>
      <c r="H6" s="204">
        <v>6</v>
      </c>
      <c r="I6" s="201"/>
      <c r="J6" s="202">
        <v>11880</v>
      </c>
      <c r="K6" s="205">
        <f>SUM(H6:J6)</f>
        <v>11886</v>
      </c>
      <c r="L6" s="204"/>
      <c r="M6" s="201"/>
      <c r="N6" s="202">
        <v>589823</v>
      </c>
      <c r="O6" s="203">
        <f>SUM(L6:N6)</f>
        <v>589823</v>
      </c>
      <c r="P6" s="204"/>
      <c r="Q6" s="201"/>
      <c r="R6" s="202">
        <v>394790</v>
      </c>
      <c r="S6" s="206">
        <f t="shared" si="0"/>
        <v>394790</v>
      </c>
      <c r="T6" s="204">
        <f t="shared" si="1"/>
        <v>30</v>
      </c>
      <c r="U6" s="202">
        <f t="shared" si="2"/>
        <v>0</v>
      </c>
      <c r="V6" s="202">
        <f t="shared" si="3"/>
        <v>1054737</v>
      </c>
      <c r="W6" s="203">
        <f t="shared" si="4"/>
        <v>1054767</v>
      </c>
    </row>
    <row r="7" spans="1:24" ht="18" customHeight="1">
      <c r="A7" s="518" t="s">
        <v>10</v>
      </c>
      <c r="B7" s="520" t="s">
        <v>339</v>
      </c>
      <c r="C7" s="207" t="s">
        <v>340</v>
      </c>
      <c r="D7" s="210"/>
      <c r="E7" s="208"/>
      <c r="F7" s="209"/>
      <c r="G7" s="203">
        <f>SUM(D7:F7)</f>
        <v>0</v>
      </c>
      <c r="H7" s="210"/>
      <c r="I7" s="208"/>
      <c r="J7" s="209"/>
      <c r="K7" s="205">
        <f>SUM(H7:J7)</f>
        <v>0</v>
      </c>
      <c r="L7" s="210"/>
      <c r="M7" s="208"/>
      <c r="N7" s="209"/>
      <c r="O7" s="203">
        <f>SUM(L7:N7)</f>
        <v>0</v>
      </c>
      <c r="P7" s="210"/>
      <c r="Q7" s="208"/>
      <c r="R7" s="211">
        <v>8047</v>
      </c>
      <c r="S7" s="206">
        <f t="shared" si="0"/>
        <v>8047</v>
      </c>
      <c r="T7" s="204">
        <f t="shared" si="1"/>
        <v>0</v>
      </c>
      <c r="U7" s="202">
        <f t="shared" si="2"/>
        <v>0</v>
      </c>
      <c r="V7" s="202">
        <f t="shared" si="3"/>
        <v>8047</v>
      </c>
      <c r="W7" s="203">
        <f t="shared" si="4"/>
        <v>8047</v>
      </c>
      <c r="X7" s="145"/>
    </row>
    <row r="8" spans="1:24" ht="18" customHeight="1">
      <c r="A8" s="519"/>
      <c r="B8" s="521"/>
      <c r="C8" s="207" t="s">
        <v>341</v>
      </c>
      <c r="D8" s="210"/>
      <c r="E8" s="208"/>
      <c r="F8" s="209"/>
      <c r="G8" s="203"/>
      <c r="H8" s="210"/>
      <c r="I8" s="208"/>
      <c r="J8" s="209"/>
      <c r="K8" s="205"/>
      <c r="L8" s="210"/>
      <c r="M8" s="208"/>
      <c r="N8" s="209"/>
      <c r="O8" s="203"/>
      <c r="P8" s="210"/>
      <c r="Q8" s="208"/>
      <c r="R8" s="211">
        <v>227</v>
      </c>
      <c r="S8" s="206">
        <f t="shared" si="0"/>
        <v>227</v>
      </c>
      <c r="T8" s="204">
        <f t="shared" si="1"/>
        <v>0</v>
      </c>
      <c r="U8" s="202">
        <f t="shared" si="2"/>
        <v>0</v>
      </c>
      <c r="V8" s="202">
        <f t="shared" si="3"/>
        <v>227</v>
      </c>
      <c r="W8" s="203">
        <f t="shared" si="4"/>
        <v>227</v>
      </c>
      <c r="X8" s="145"/>
    </row>
    <row r="9" spans="1:23" ht="18" customHeight="1">
      <c r="A9" s="435" t="s">
        <v>12</v>
      </c>
      <c r="B9" s="199" t="s">
        <v>342</v>
      </c>
      <c r="C9" s="212">
        <v>890443</v>
      </c>
      <c r="D9" s="204"/>
      <c r="E9" s="201"/>
      <c r="F9" s="202"/>
      <c r="G9" s="203">
        <f aca="true" t="shared" si="5" ref="G9:G32">SUM(D9:F9)</f>
        <v>0</v>
      </c>
      <c r="H9" s="204"/>
      <c r="I9" s="201"/>
      <c r="J9" s="202"/>
      <c r="K9" s="205">
        <f aca="true" t="shared" si="6" ref="K9:K32">SUM(H9:J9)</f>
        <v>0</v>
      </c>
      <c r="L9" s="204"/>
      <c r="M9" s="201"/>
      <c r="N9" s="202"/>
      <c r="O9" s="203">
        <f aca="true" t="shared" si="7" ref="O9:O32">SUM(L9:N9)</f>
        <v>0</v>
      </c>
      <c r="P9" s="204"/>
      <c r="Q9" s="201"/>
      <c r="R9" s="202"/>
      <c r="S9" s="206">
        <f t="shared" si="0"/>
        <v>0</v>
      </c>
      <c r="T9" s="204">
        <f t="shared" si="1"/>
        <v>0</v>
      </c>
      <c r="U9" s="202">
        <f t="shared" si="2"/>
        <v>0</v>
      </c>
      <c r="V9" s="202">
        <f t="shared" si="3"/>
        <v>0</v>
      </c>
      <c r="W9" s="203">
        <f t="shared" si="4"/>
        <v>0</v>
      </c>
    </row>
    <row r="10" spans="1:23" ht="18" customHeight="1">
      <c r="A10" s="435" t="s">
        <v>35</v>
      </c>
      <c r="B10" s="199" t="s">
        <v>343</v>
      </c>
      <c r="C10" s="212" t="s">
        <v>344</v>
      </c>
      <c r="D10" s="204">
        <v>6850</v>
      </c>
      <c r="E10" s="201"/>
      <c r="F10" s="202">
        <v>124220</v>
      </c>
      <c r="G10" s="203">
        <f t="shared" si="5"/>
        <v>131070</v>
      </c>
      <c r="H10" s="204">
        <v>1213</v>
      </c>
      <c r="I10" s="201"/>
      <c r="J10" s="202">
        <v>39325</v>
      </c>
      <c r="K10" s="205">
        <f t="shared" si="6"/>
        <v>40538</v>
      </c>
      <c r="L10" s="204"/>
      <c r="M10" s="201"/>
      <c r="N10" s="202"/>
      <c r="O10" s="203">
        <f t="shared" si="7"/>
        <v>0</v>
      </c>
      <c r="P10" s="204"/>
      <c r="Q10" s="201"/>
      <c r="R10" s="202">
        <v>43827</v>
      </c>
      <c r="S10" s="206">
        <f t="shared" si="0"/>
        <v>43827</v>
      </c>
      <c r="T10" s="204">
        <f t="shared" si="1"/>
        <v>8063</v>
      </c>
      <c r="U10" s="202">
        <f t="shared" si="2"/>
        <v>0</v>
      </c>
      <c r="V10" s="202">
        <f t="shared" si="3"/>
        <v>207372</v>
      </c>
      <c r="W10" s="203">
        <f t="shared" si="4"/>
        <v>215435</v>
      </c>
    </row>
    <row r="11" spans="1:23" ht="18" customHeight="1">
      <c r="A11" s="435" t="s">
        <v>37</v>
      </c>
      <c r="B11" s="199" t="s">
        <v>345</v>
      </c>
      <c r="C11" s="212" t="s">
        <v>346</v>
      </c>
      <c r="D11" s="204"/>
      <c r="E11" s="201"/>
      <c r="F11" s="202"/>
      <c r="G11" s="203">
        <f t="shared" si="5"/>
        <v>0</v>
      </c>
      <c r="H11" s="204"/>
      <c r="I11" s="201"/>
      <c r="J11" s="202"/>
      <c r="K11" s="205">
        <f t="shared" si="6"/>
        <v>0</v>
      </c>
      <c r="L11" s="204"/>
      <c r="M11" s="201"/>
      <c r="N11" s="202"/>
      <c r="O11" s="203">
        <f t="shared" si="7"/>
        <v>0</v>
      </c>
      <c r="P11" s="204"/>
      <c r="Q11" s="201"/>
      <c r="R11" s="202"/>
      <c r="S11" s="206">
        <f t="shared" si="0"/>
        <v>0</v>
      </c>
      <c r="T11" s="204">
        <f t="shared" si="1"/>
        <v>0</v>
      </c>
      <c r="U11" s="202">
        <f t="shared" si="2"/>
        <v>0</v>
      </c>
      <c r="V11" s="202">
        <f t="shared" si="3"/>
        <v>0</v>
      </c>
      <c r="W11" s="203">
        <f t="shared" si="4"/>
        <v>0</v>
      </c>
    </row>
    <row r="12" spans="1:23" ht="18" customHeight="1">
      <c r="A12" s="435" t="s">
        <v>39</v>
      </c>
      <c r="B12" s="199" t="s">
        <v>347</v>
      </c>
      <c r="C12" s="212" t="s">
        <v>348</v>
      </c>
      <c r="D12" s="204"/>
      <c r="E12" s="201"/>
      <c r="F12" s="202"/>
      <c r="G12" s="203">
        <f t="shared" si="5"/>
        <v>0</v>
      </c>
      <c r="H12" s="204"/>
      <c r="I12" s="201"/>
      <c r="J12" s="202"/>
      <c r="K12" s="205">
        <f t="shared" si="6"/>
        <v>0</v>
      </c>
      <c r="L12" s="204"/>
      <c r="M12" s="201"/>
      <c r="N12" s="202">
        <v>36071</v>
      </c>
      <c r="O12" s="203">
        <f t="shared" si="7"/>
        <v>36071</v>
      </c>
      <c r="P12" s="204"/>
      <c r="Q12" s="201"/>
      <c r="R12" s="202"/>
      <c r="S12" s="206">
        <f t="shared" si="0"/>
        <v>0</v>
      </c>
      <c r="T12" s="204">
        <f t="shared" si="1"/>
        <v>0</v>
      </c>
      <c r="U12" s="202">
        <f t="shared" si="2"/>
        <v>0</v>
      </c>
      <c r="V12" s="202">
        <f t="shared" si="3"/>
        <v>36071</v>
      </c>
      <c r="W12" s="203">
        <f t="shared" si="4"/>
        <v>36071</v>
      </c>
    </row>
    <row r="13" spans="1:23" ht="18" customHeight="1">
      <c r="A13" s="435" t="s">
        <v>41</v>
      </c>
      <c r="B13" s="199" t="s">
        <v>349</v>
      </c>
      <c r="C13" s="212" t="s">
        <v>350</v>
      </c>
      <c r="D13" s="204"/>
      <c r="E13" s="201"/>
      <c r="F13" s="202"/>
      <c r="G13" s="203">
        <f t="shared" si="5"/>
        <v>0</v>
      </c>
      <c r="H13" s="204"/>
      <c r="I13" s="201"/>
      <c r="J13" s="202"/>
      <c r="K13" s="205">
        <f t="shared" si="6"/>
        <v>0</v>
      </c>
      <c r="L13" s="204"/>
      <c r="M13" s="201"/>
      <c r="N13" s="202"/>
      <c r="O13" s="203">
        <f t="shared" si="7"/>
        <v>0</v>
      </c>
      <c r="P13" s="204"/>
      <c r="Q13" s="201"/>
      <c r="R13" s="202"/>
      <c r="S13" s="206">
        <f t="shared" si="0"/>
        <v>0</v>
      </c>
      <c r="T13" s="204">
        <f t="shared" si="1"/>
        <v>0</v>
      </c>
      <c r="U13" s="202">
        <f t="shared" si="2"/>
        <v>0</v>
      </c>
      <c r="V13" s="202">
        <f t="shared" si="3"/>
        <v>0</v>
      </c>
      <c r="W13" s="203">
        <f t="shared" si="4"/>
        <v>0</v>
      </c>
    </row>
    <row r="14" spans="1:23" ht="18" customHeight="1">
      <c r="A14" s="435" t="s">
        <v>43</v>
      </c>
      <c r="B14" s="199" t="s">
        <v>351</v>
      </c>
      <c r="C14" s="212" t="s">
        <v>352</v>
      </c>
      <c r="D14" s="204"/>
      <c r="E14" s="201"/>
      <c r="F14" s="202"/>
      <c r="G14" s="203">
        <f t="shared" si="5"/>
        <v>0</v>
      </c>
      <c r="H14" s="204"/>
      <c r="I14" s="201"/>
      <c r="J14" s="202"/>
      <c r="K14" s="205">
        <f t="shared" si="6"/>
        <v>0</v>
      </c>
      <c r="L14" s="204"/>
      <c r="M14" s="201"/>
      <c r="N14" s="202"/>
      <c r="O14" s="203">
        <f t="shared" si="7"/>
        <v>0</v>
      </c>
      <c r="P14" s="204"/>
      <c r="Q14" s="201"/>
      <c r="R14" s="202"/>
      <c r="S14" s="206">
        <f t="shared" si="0"/>
        <v>0</v>
      </c>
      <c r="T14" s="204">
        <f t="shared" si="1"/>
        <v>0</v>
      </c>
      <c r="U14" s="202">
        <f t="shared" si="2"/>
        <v>0</v>
      </c>
      <c r="V14" s="202">
        <f t="shared" si="3"/>
        <v>0</v>
      </c>
      <c r="W14" s="203">
        <f t="shared" si="4"/>
        <v>0</v>
      </c>
    </row>
    <row r="15" spans="1:23" ht="18" customHeight="1">
      <c r="A15" s="435" t="s">
        <v>45</v>
      </c>
      <c r="B15" s="199" t="s">
        <v>353</v>
      </c>
      <c r="C15" s="212" t="s">
        <v>354</v>
      </c>
      <c r="D15" s="204"/>
      <c r="E15" s="201"/>
      <c r="F15" s="202"/>
      <c r="G15" s="203">
        <f t="shared" si="5"/>
        <v>0</v>
      </c>
      <c r="H15" s="204"/>
      <c r="I15" s="201"/>
      <c r="J15" s="202"/>
      <c r="K15" s="205">
        <f t="shared" si="6"/>
        <v>0</v>
      </c>
      <c r="L15" s="204"/>
      <c r="M15" s="201"/>
      <c r="N15" s="202"/>
      <c r="O15" s="203">
        <f t="shared" si="7"/>
        <v>0</v>
      </c>
      <c r="P15" s="204"/>
      <c r="Q15" s="201"/>
      <c r="R15" s="202">
        <v>270</v>
      </c>
      <c r="S15" s="206">
        <f t="shared" si="0"/>
        <v>270</v>
      </c>
      <c r="T15" s="204">
        <f t="shared" si="1"/>
        <v>0</v>
      </c>
      <c r="U15" s="202">
        <f t="shared" si="2"/>
        <v>0</v>
      </c>
      <c r="V15" s="202">
        <f t="shared" si="3"/>
        <v>270</v>
      </c>
      <c r="W15" s="203">
        <f t="shared" si="4"/>
        <v>270</v>
      </c>
    </row>
    <row r="16" spans="1:23" ht="18" customHeight="1">
      <c r="A16" s="435" t="s">
        <v>47</v>
      </c>
      <c r="B16" s="199" t="s">
        <v>355</v>
      </c>
      <c r="C16" s="212" t="s">
        <v>356</v>
      </c>
      <c r="D16" s="204"/>
      <c r="E16" s="201"/>
      <c r="F16" s="202"/>
      <c r="G16" s="203">
        <f t="shared" si="5"/>
        <v>0</v>
      </c>
      <c r="H16" s="204"/>
      <c r="I16" s="201"/>
      <c r="J16" s="202"/>
      <c r="K16" s="205">
        <f t="shared" si="6"/>
        <v>0</v>
      </c>
      <c r="L16" s="204"/>
      <c r="M16" s="201"/>
      <c r="N16" s="202">
        <v>300</v>
      </c>
      <c r="O16" s="203">
        <f t="shared" si="7"/>
        <v>300</v>
      </c>
      <c r="P16" s="204"/>
      <c r="Q16" s="201"/>
      <c r="R16" s="202"/>
      <c r="S16" s="206">
        <f t="shared" si="0"/>
        <v>0</v>
      </c>
      <c r="T16" s="204">
        <f t="shared" si="1"/>
        <v>0</v>
      </c>
      <c r="U16" s="202">
        <f t="shared" si="2"/>
        <v>0</v>
      </c>
      <c r="V16" s="202">
        <f t="shared" si="3"/>
        <v>300</v>
      </c>
      <c r="W16" s="203">
        <f t="shared" si="4"/>
        <v>300</v>
      </c>
    </row>
    <row r="17" spans="1:23" ht="18" customHeight="1">
      <c r="A17" s="435" t="s">
        <v>48</v>
      </c>
      <c r="B17" s="199" t="s">
        <v>357</v>
      </c>
      <c r="C17" s="212" t="s">
        <v>358</v>
      </c>
      <c r="D17" s="204"/>
      <c r="E17" s="201"/>
      <c r="F17" s="202"/>
      <c r="G17" s="203">
        <f t="shared" si="5"/>
        <v>0</v>
      </c>
      <c r="H17" s="204"/>
      <c r="I17" s="201"/>
      <c r="J17" s="202"/>
      <c r="K17" s="205">
        <f t="shared" si="6"/>
        <v>0</v>
      </c>
      <c r="L17" s="204"/>
      <c r="M17" s="201"/>
      <c r="N17" s="202">
        <v>559</v>
      </c>
      <c r="O17" s="203">
        <f t="shared" si="7"/>
        <v>559</v>
      </c>
      <c r="P17" s="204"/>
      <c r="Q17" s="201"/>
      <c r="R17" s="202"/>
      <c r="S17" s="206">
        <f t="shared" si="0"/>
        <v>0</v>
      </c>
      <c r="T17" s="204">
        <f t="shared" si="1"/>
        <v>0</v>
      </c>
      <c r="U17" s="202">
        <f t="shared" si="2"/>
        <v>0</v>
      </c>
      <c r="V17" s="202">
        <f t="shared" si="3"/>
        <v>559</v>
      </c>
      <c r="W17" s="203">
        <f t="shared" si="4"/>
        <v>559</v>
      </c>
    </row>
    <row r="18" spans="1:23" ht="18" customHeight="1">
      <c r="A18" s="435" t="s">
        <v>50</v>
      </c>
      <c r="B18" s="199" t="s">
        <v>359</v>
      </c>
      <c r="C18" s="212" t="s">
        <v>360</v>
      </c>
      <c r="D18" s="204"/>
      <c r="E18" s="201"/>
      <c r="F18" s="202"/>
      <c r="G18" s="203">
        <f t="shared" si="5"/>
        <v>0</v>
      </c>
      <c r="H18" s="204"/>
      <c r="I18" s="201"/>
      <c r="J18" s="202"/>
      <c r="K18" s="205">
        <f t="shared" si="6"/>
        <v>0</v>
      </c>
      <c r="L18" s="204"/>
      <c r="M18" s="201"/>
      <c r="N18" s="202">
        <v>1930</v>
      </c>
      <c r="O18" s="203">
        <f t="shared" si="7"/>
        <v>1930</v>
      </c>
      <c r="P18" s="204"/>
      <c r="Q18" s="201"/>
      <c r="R18" s="202"/>
      <c r="S18" s="206">
        <f t="shared" si="0"/>
        <v>0</v>
      </c>
      <c r="T18" s="204">
        <f t="shared" si="1"/>
        <v>0</v>
      </c>
      <c r="U18" s="202">
        <f t="shared" si="2"/>
        <v>0</v>
      </c>
      <c r="V18" s="202">
        <f t="shared" si="3"/>
        <v>1930</v>
      </c>
      <c r="W18" s="203">
        <f t="shared" si="4"/>
        <v>1930</v>
      </c>
    </row>
    <row r="19" spans="1:23" ht="18" customHeight="1">
      <c r="A19" s="435" t="s">
        <v>52</v>
      </c>
      <c r="B19" s="199" t="s">
        <v>507</v>
      </c>
      <c r="C19" s="212" t="s">
        <v>361</v>
      </c>
      <c r="D19" s="204"/>
      <c r="E19" s="201"/>
      <c r="F19" s="202">
        <v>2372</v>
      </c>
      <c r="G19" s="203">
        <f t="shared" si="5"/>
        <v>2372</v>
      </c>
      <c r="H19" s="204"/>
      <c r="I19" s="201"/>
      <c r="J19" s="202">
        <v>611</v>
      </c>
      <c r="K19" s="205">
        <f t="shared" si="6"/>
        <v>611</v>
      </c>
      <c r="L19" s="204"/>
      <c r="M19" s="201"/>
      <c r="N19" s="202"/>
      <c r="O19" s="203">
        <f t="shared" si="7"/>
        <v>0</v>
      </c>
      <c r="P19" s="204">
        <v>1071</v>
      </c>
      <c r="Q19" s="201"/>
      <c r="R19" s="202">
        <v>4125</v>
      </c>
      <c r="S19" s="206">
        <f t="shared" si="0"/>
        <v>5196</v>
      </c>
      <c r="T19" s="204">
        <f t="shared" si="1"/>
        <v>1071</v>
      </c>
      <c r="U19" s="202">
        <f t="shared" si="2"/>
        <v>0</v>
      </c>
      <c r="V19" s="202">
        <f t="shared" si="3"/>
        <v>7108</v>
      </c>
      <c r="W19" s="203">
        <f t="shared" si="4"/>
        <v>8179</v>
      </c>
    </row>
    <row r="20" spans="1:23" ht="18" customHeight="1">
      <c r="A20" s="435" t="s">
        <v>54</v>
      </c>
      <c r="B20" s="199" t="s">
        <v>506</v>
      </c>
      <c r="C20" s="212" t="s">
        <v>362</v>
      </c>
      <c r="D20" s="204"/>
      <c r="E20" s="201"/>
      <c r="F20" s="202">
        <v>3089</v>
      </c>
      <c r="G20" s="203">
        <f t="shared" si="5"/>
        <v>3089</v>
      </c>
      <c r="H20" s="204"/>
      <c r="I20" s="201"/>
      <c r="J20" s="202">
        <v>791</v>
      </c>
      <c r="K20" s="205">
        <f t="shared" si="6"/>
        <v>791</v>
      </c>
      <c r="L20" s="204"/>
      <c r="M20" s="201"/>
      <c r="N20" s="202"/>
      <c r="O20" s="203">
        <f t="shared" si="7"/>
        <v>0</v>
      </c>
      <c r="P20" s="204">
        <v>23858</v>
      </c>
      <c r="Q20" s="201"/>
      <c r="R20" s="202"/>
      <c r="S20" s="206">
        <f t="shared" si="0"/>
        <v>23858</v>
      </c>
      <c r="T20" s="204">
        <f t="shared" si="1"/>
        <v>23858</v>
      </c>
      <c r="U20" s="202">
        <f t="shared" si="2"/>
        <v>0</v>
      </c>
      <c r="V20" s="202">
        <f t="shared" si="3"/>
        <v>3880</v>
      </c>
      <c r="W20" s="203">
        <f t="shared" si="4"/>
        <v>27738</v>
      </c>
    </row>
    <row r="21" spans="1:23" ht="18" customHeight="1">
      <c r="A21" s="435" t="s">
        <v>56</v>
      </c>
      <c r="B21" s="199" t="s">
        <v>363</v>
      </c>
      <c r="C21" s="213"/>
      <c r="D21" s="204"/>
      <c r="E21" s="201"/>
      <c r="F21" s="202"/>
      <c r="G21" s="203"/>
      <c r="H21" s="204"/>
      <c r="I21" s="201"/>
      <c r="J21" s="202"/>
      <c r="K21" s="205"/>
      <c r="L21" s="204"/>
      <c r="M21" s="201"/>
      <c r="N21" s="202"/>
      <c r="O21" s="203"/>
      <c r="P21" s="204"/>
      <c r="Q21" s="201"/>
      <c r="R21" s="202"/>
      <c r="S21" s="206"/>
      <c r="T21" s="204"/>
      <c r="U21" s="202"/>
      <c r="V21" s="202"/>
      <c r="W21" s="203"/>
    </row>
    <row r="22" spans="1:23" ht="18" customHeight="1">
      <c r="A22" s="435" t="s">
        <v>58</v>
      </c>
      <c r="B22" s="437" t="s">
        <v>504</v>
      </c>
      <c r="C22" s="438">
        <v>20000</v>
      </c>
      <c r="D22" s="217"/>
      <c r="E22" s="214"/>
      <c r="F22" s="215">
        <v>1834</v>
      </c>
      <c r="G22" s="203">
        <f t="shared" si="5"/>
        <v>1834</v>
      </c>
      <c r="H22" s="217"/>
      <c r="I22" s="214"/>
      <c r="J22" s="215">
        <v>495</v>
      </c>
      <c r="K22" s="205">
        <f t="shared" si="6"/>
        <v>495</v>
      </c>
      <c r="L22" s="217"/>
      <c r="M22" s="214"/>
      <c r="N22" s="215"/>
      <c r="O22" s="203">
        <f t="shared" si="7"/>
        <v>0</v>
      </c>
      <c r="P22" s="217"/>
      <c r="Q22" s="214"/>
      <c r="R22" s="215"/>
      <c r="S22" s="206">
        <f t="shared" si="0"/>
        <v>0</v>
      </c>
      <c r="T22" s="204">
        <f t="shared" si="1"/>
        <v>0</v>
      </c>
      <c r="U22" s="202">
        <f t="shared" si="2"/>
        <v>0</v>
      </c>
      <c r="V22" s="202">
        <f t="shared" si="3"/>
        <v>2329</v>
      </c>
      <c r="W22" s="203">
        <f t="shared" si="4"/>
        <v>2329</v>
      </c>
    </row>
    <row r="23" spans="1:23" ht="18" customHeight="1">
      <c r="A23" s="435" t="s">
        <v>60</v>
      </c>
      <c r="B23" s="437" t="s">
        <v>494</v>
      </c>
      <c r="C23" s="438">
        <v>360000</v>
      </c>
      <c r="D23" s="217"/>
      <c r="E23" s="214"/>
      <c r="F23" s="215"/>
      <c r="G23" s="203">
        <f t="shared" si="5"/>
        <v>0</v>
      </c>
      <c r="H23" s="217"/>
      <c r="I23" s="214"/>
      <c r="J23" s="215"/>
      <c r="K23" s="205">
        <f t="shared" si="6"/>
        <v>0</v>
      </c>
      <c r="L23" s="217"/>
      <c r="M23" s="214"/>
      <c r="N23" s="215"/>
      <c r="O23" s="203">
        <f t="shared" si="7"/>
        <v>0</v>
      </c>
      <c r="P23" s="217"/>
      <c r="Q23" s="214"/>
      <c r="R23" s="215">
        <v>4269</v>
      </c>
      <c r="S23" s="206">
        <f t="shared" si="0"/>
        <v>4269</v>
      </c>
      <c r="T23" s="204">
        <f t="shared" si="1"/>
        <v>0</v>
      </c>
      <c r="U23" s="202">
        <f t="shared" si="2"/>
        <v>0</v>
      </c>
      <c r="V23" s="202">
        <f t="shared" si="3"/>
        <v>4269</v>
      </c>
      <c r="W23" s="203">
        <f t="shared" si="4"/>
        <v>4269</v>
      </c>
    </row>
    <row r="24" spans="1:23" ht="18" customHeight="1">
      <c r="A24" s="435" t="s">
        <v>62</v>
      </c>
      <c r="B24" s="437" t="s">
        <v>503</v>
      </c>
      <c r="C24" s="438">
        <v>381103</v>
      </c>
      <c r="D24" s="217"/>
      <c r="E24" s="214"/>
      <c r="F24" s="215"/>
      <c r="G24" s="203">
        <f t="shared" si="5"/>
        <v>0</v>
      </c>
      <c r="H24" s="217"/>
      <c r="I24" s="214"/>
      <c r="J24" s="215"/>
      <c r="K24" s="205">
        <f t="shared" si="6"/>
        <v>0</v>
      </c>
      <c r="L24" s="217"/>
      <c r="M24" s="214"/>
      <c r="N24" s="215"/>
      <c r="O24" s="203">
        <f t="shared" si="7"/>
        <v>0</v>
      </c>
      <c r="P24" s="217"/>
      <c r="Q24" s="214"/>
      <c r="R24" s="215">
        <v>15675</v>
      </c>
      <c r="S24" s="206">
        <f t="shared" si="0"/>
        <v>15675</v>
      </c>
      <c r="T24" s="204">
        <f t="shared" si="1"/>
        <v>0</v>
      </c>
      <c r="U24" s="202">
        <f t="shared" si="2"/>
        <v>0</v>
      </c>
      <c r="V24" s="202">
        <f t="shared" si="3"/>
        <v>15675</v>
      </c>
      <c r="W24" s="203">
        <f t="shared" si="4"/>
        <v>15675</v>
      </c>
    </row>
    <row r="25" spans="1:23" ht="18" customHeight="1">
      <c r="A25" s="435" t="s">
        <v>64</v>
      </c>
      <c r="B25" s="437" t="s">
        <v>495</v>
      </c>
      <c r="C25" s="438">
        <v>522001</v>
      </c>
      <c r="D25" s="217"/>
      <c r="E25" s="214"/>
      <c r="F25" s="215"/>
      <c r="G25" s="203">
        <f t="shared" si="5"/>
        <v>0</v>
      </c>
      <c r="H25" s="217"/>
      <c r="I25" s="214"/>
      <c r="J25" s="215"/>
      <c r="K25" s="205">
        <f t="shared" si="6"/>
        <v>0</v>
      </c>
      <c r="L25" s="217"/>
      <c r="M25" s="214"/>
      <c r="N25" s="215"/>
      <c r="O25" s="203">
        <f t="shared" si="7"/>
        <v>0</v>
      </c>
      <c r="P25" s="217"/>
      <c r="Q25" s="214"/>
      <c r="R25" s="215">
        <v>17741</v>
      </c>
      <c r="S25" s="206">
        <f t="shared" si="0"/>
        <v>17741</v>
      </c>
      <c r="T25" s="204">
        <f t="shared" si="1"/>
        <v>0</v>
      </c>
      <c r="U25" s="202">
        <f t="shared" si="2"/>
        <v>0</v>
      </c>
      <c r="V25" s="202">
        <f t="shared" si="3"/>
        <v>17741</v>
      </c>
      <c r="W25" s="203">
        <f t="shared" si="4"/>
        <v>17741</v>
      </c>
    </row>
    <row r="26" spans="1:23" ht="18" customHeight="1">
      <c r="A26" s="435" t="s">
        <v>66</v>
      </c>
      <c r="B26" s="437" t="s">
        <v>496</v>
      </c>
      <c r="C26" s="438">
        <v>581400</v>
      </c>
      <c r="D26" s="217"/>
      <c r="E26" s="214"/>
      <c r="F26" s="215"/>
      <c r="G26" s="203">
        <f t="shared" si="5"/>
        <v>0</v>
      </c>
      <c r="H26" s="217"/>
      <c r="I26" s="214"/>
      <c r="J26" s="215"/>
      <c r="K26" s="205">
        <f t="shared" si="6"/>
        <v>0</v>
      </c>
      <c r="L26" s="217"/>
      <c r="M26" s="214"/>
      <c r="N26" s="215"/>
      <c r="O26" s="203">
        <f t="shared" si="7"/>
        <v>0</v>
      </c>
      <c r="P26" s="217"/>
      <c r="Q26" s="214"/>
      <c r="R26" s="215">
        <v>4070</v>
      </c>
      <c r="S26" s="206">
        <f t="shared" si="0"/>
        <v>4070</v>
      </c>
      <c r="T26" s="204">
        <f t="shared" si="1"/>
        <v>0</v>
      </c>
      <c r="U26" s="202">
        <f t="shared" si="2"/>
        <v>0</v>
      </c>
      <c r="V26" s="202">
        <f t="shared" si="3"/>
        <v>4070</v>
      </c>
      <c r="W26" s="203">
        <f t="shared" si="4"/>
        <v>4070</v>
      </c>
    </row>
    <row r="27" spans="1:23" ht="18" customHeight="1">
      <c r="A27" s="435" t="s">
        <v>68</v>
      </c>
      <c r="B27" s="437" t="s">
        <v>502</v>
      </c>
      <c r="C27" s="438">
        <v>750000</v>
      </c>
      <c r="D27" s="217"/>
      <c r="E27" s="214"/>
      <c r="F27" s="215"/>
      <c r="G27" s="203">
        <f t="shared" si="5"/>
        <v>0</v>
      </c>
      <c r="H27" s="217"/>
      <c r="I27" s="214"/>
      <c r="J27" s="215"/>
      <c r="K27" s="205">
        <f t="shared" si="6"/>
        <v>0</v>
      </c>
      <c r="L27" s="217"/>
      <c r="M27" s="214"/>
      <c r="N27" s="215"/>
      <c r="O27" s="203">
        <f t="shared" si="7"/>
        <v>0</v>
      </c>
      <c r="P27" s="217"/>
      <c r="Q27" s="214"/>
      <c r="R27" s="215">
        <v>674</v>
      </c>
      <c r="S27" s="206">
        <f t="shared" si="0"/>
        <v>674</v>
      </c>
      <c r="T27" s="204">
        <f t="shared" si="1"/>
        <v>0</v>
      </c>
      <c r="U27" s="202">
        <f t="shared" si="2"/>
        <v>0</v>
      </c>
      <c r="V27" s="202">
        <f t="shared" si="3"/>
        <v>674</v>
      </c>
      <c r="W27" s="203">
        <f t="shared" si="4"/>
        <v>674</v>
      </c>
    </row>
    <row r="28" spans="1:23" ht="18" customHeight="1">
      <c r="A28" s="435" t="s">
        <v>70</v>
      </c>
      <c r="B28" s="437" t="s">
        <v>497</v>
      </c>
      <c r="C28" s="438">
        <v>812000</v>
      </c>
      <c r="D28" s="217"/>
      <c r="E28" s="214"/>
      <c r="F28" s="215">
        <v>4609</v>
      </c>
      <c r="G28" s="203">
        <f t="shared" si="5"/>
        <v>4609</v>
      </c>
      <c r="H28" s="217"/>
      <c r="I28" s="214"/>
      <c r="J28" s="215">
        <v>1155</v>
      </c>
      <c r="K28" s="205">
        <f t="shared" si="6"/>
        <v>1155</v>
      </c>
      <c r="L28" s="217"/>
      <c r="M28" s="214"/>
      <c r="N28" s="215"/>
      <c r="O28" s="203">
        <f t="shared" si="7"/>
        <v>0</v>
      </c>
      <c r="P28" s="217"/>
      <c r="Q28" s="214"/>
      <c r="R28" s="215">
        <v>16303</v>
      </c>
      <c r="S28" s="206">
        <f t="shared" si="0"/>
        <v>16303</v>
      </c>
      <c r="T28" s="204">
        <f t="shared" si="1"/>
        <v>0</v>
      </c>
      <c r="U28" s="202">
        <f t="shared" si="2"/>
        <v>0</v>
      </c>
      <c r="V28" s="202">
        <f t="shared" si="3"/>
        <v>22067</v>
      </c>
      <c r="W28" s="203">
        <f t="shared" si="4"/>
        <v>22067</v>
      </c>
    </row>
    <row r="29" spans="1:23" ht="18" customHeight="1">
      <c r="A29" s="435" t="s">
        <v>72</v>
      </c>
      <c r="B29" s="437" t="s">
        <v>505</v>
      </c>
      <c r="C29" s="438">
        <v>813000</v>
      </c>
      <c r="D29" s="217"/>
      <c r="E29" s="214"/>
      <c r="F29" s="215">
        <v>7439</v>
      </c>
      <c r="G29" s="203">
        <f t="shared" si="5"/>
        <v>7439</v>
      </c>
      <c r="H29" s="217"/>
      <c r="I29" s="214"/>
      <c r="J29" s="215">
        <v>2008</v>
      </c>
      <c r="K29" s="205">
        <f t="shared" si="6"/>
        <v>2008</v>
      </c>
      <c r="L29" s="217"/>
      <c r="M29" s="214"/>
      <c r="N29" s="215"/>
      <c r="O29" s="203">
        <f t="shared" si="7"/>
        <v>0</v>
      </c>
      <c r="P29" s="217"/>
      <c r="Q29" s="214"/>
      <c r="R29" s="215">
        <v>13271</v>
      </c>
      <c r="S29" s="206">
        <f t="shared" si="0"/>
        <v>13271</v>
      </c>
      <c r="T29" s="204">
        <f t="shared" si="1"/>
        <v>0</v>
      </c>
      <c r="U29" s="202">
        <f t="shared" si="2"/>
        <v>0</v>
      </c>
      <c r="V29" s="202">
        <f t="shared" si="3"/>
        <v>22718</v>
      </c>
      <c r="W29" s="203">
        <f t="shared" si="4"/>
        <v>22718</v>
      </c>
    </row>
    <row r="30" spans="1:23" ht="18" customHeight="1">
      <c r="A30" s="435" t="s">
        <v>74</v>
      </c>
      <c r="B30" s="437" t="s">
        <v>498</v>
      </c>
      <c r="C30" s="438"/>
      <c r="D30" s="217"/>
      <c r="E30" s="214"/>
      <c r="F30" s="215"/>
      <c r="G30" s="203">
        <f t="shared" si="5"/>
        <v>0</v>
      </c>
      <c r="H30" s="217"/>
      <c r="I30" s="214"/>
      <c r="J30" s="215"/>
      <c r="K30" s="205">
        <f t="shared" si="6"/>
        <v>0</v>
      </c>
      <c r="L30" s="217"/>
      <c r="M30" s="214"/>
      <c r="N30" s="215"/>
      <c r="O30" s="203">
        <f t="shared" si="7"/>
        <v>0</v>
      </c>
      <c r="P30" s="217"/>
      <c r="Q30" s="214"/>
      <c r="R30" s="215">
        <v>25637</v>
      </c>
      <c r="S30" s="206">
        <f t="shared" si="0"/>
        <v>25637</v>
      </c>
      <c r="T30" s="204">
        <f t="shared" si="1"/>
        <v>0</v>
      </c>
      <c r="U30" s="202">
        <f t="shared" si="2"/>
        <v>0</v>
      </c>
      <c r="V30" s="202">
        <f t="shared" si="3"/>
        <v>25637</v>
      </c>
      <c r="W30" s="203">
        <f t="shared" si="4"/>
        <v>25637</v>
      </c>
    </row>
    <row r="31" spans="1:23" ht="18" customHeight="1">
      <c r="A31" s="435" t="s">
        <v>76</v>
      </c>
      <c r="B31" s="437" t="s">
        <v>499</v>
      </c>
      <c r="C31" s="438"/>
      <c r="D31" s="217"/>
      <c r="E31" s="214"/>
      <c r="F31" s="215"/>
      <c r="G31" s="203">
        <f t="shared" si="5"/>
        <v>0</v>
      </c>
      <c r="H31" s="217"/>
      <c r="I31" s="214"/>
      <c r="J31" s="215"/>
      <c r="K31" s="205">
        <f t="shared" si="6"/>
        <v>0</v>
      </c>
      <c r="L31" s="217"/>
      <c r="M31" s="214"/>
      <c r="N31" s="215"/>
      <c r="O31" s="203">
        <f t="shared" si="7"/>
        <v>0</v>
      </c>
      <c r="P31" s="217"/>
      <c r="Q31" s="214"/>
      <c r="R31" s="215">
        <v>2080</v>
      </c>
      <c r="S31" s="206">
        <f t="shared" si="0"/>
        <v>2080</v>
      </c>
      <c r="T31" s="204">
        <f t="shared" si="1"/>
        <v>0</v>
      </c>
      <c r="U31" s="202">
        <f t="shared" si="2"/>
        <v>0</v>
      </c>
      <c r="V31" s="202">
        <f t="shared" si="3"/>
        <v>2080</v>
      </c>
      <c r="W31" s="203">
        <f t="shared" si="4"/>
        <v>2080</v>
      </c>
    </row>
    <row r="32" spans="1:23" ht="18" customHeight="1">
      <c r="A32" s="435" t="s">
        <v>78</v>
      </c>
      <c r="B32" s="437" t="s">
        <v>500</v>
      </c>
      <c r="C32" s="438"/>
      <c r="D32" s="217"/>
      <c r="E32" s="214"/>
      <c r="F32" s="215"/>
      <c r="G32" s="203">
        <f t="shared" si="5"/>
        <v>0</v>
      </c>
      <c r="H32" s="217"/>
      <c r="I32" s="214"/>
      <c r="J32" s="215"/>
      <c r="K32" s="205">
        <f t="shared" si="6"/>
        <v>0</v>
      </c>
      <c r="L32" s="217"/>
      <c r="M32" s="214"/>
      <c r="N32" s="215"/>
      <c r="O32" s="203">
        <f t="shared" si="7"/>
        <v>0</v>
      </c>
      <c r="P32" s="217"/>
      <c r="Q32" s="214"/>
      <c r="R32" s="215">
        <v>712</v>
      </c>
      <c r="S32" s="206">
        <f t="shared" si="0"/>
        <v>712</v>
      </c>
      <c r="T32" s="204">
        <f t="shared" si="1"/>
        <v>0</v>
      </c>
      <c r="U32" s="202">
        <f t="shared" si="2"/>
        <v>0</v>
      </c>
      <c r="V32" s="202">
        <f t="shared" si="3"/>
        <v>712</v>
      </c>
      <c r="W32" s="203">
        <f t="shared" si="4"/>
        <v>712</v>
      </c>
    </row>
    <row r="33" spans="1:23" ht="18" customHeight="1" thickBot="1">
      <c r="A33" s="435" t="s">
        <v>80</v>
      </c>
      <c r="B33" s="437" t="s">
        <v>364</v>
      </c>
      <c r="C33" s="438"/>
      <c r="D33" s="217"/>
      <c r="E33" s="214"/>
      <c r="F33" s="215"/>
      <c r="G33" s="216">
        <f>SUM(D33:F33)</f>
        <v>0</v>
      </c>
      <c r="H33" s="217"/>
      <c r="I33" s="214"/>
      <c r="J33" s="215"/>
      <c r="K33" s="218">
        <f>SUM(H33:J33)</f>
        <v>0</v>
      </c>
      <c r="L33" s="217">
        <v>196149</v>
      </c>
      <c r="M33" s="214"/>
      <c r="N33" s="215">
        <v>7149</v>
      </c>
      <c r="O33" s="216">
        <f>SUM(L33:N33)</f>
        <v>203298</v>
      </c>
      <c r="P33" s="217"/>
      <c r="Q33" s="214"/>
      <c r="R33" s="215"/>
      <c r="S33" s="219">
        <f>SUM(P33:R33)</f>
        <v>0</v>
      </c>
      <c r="T33" s="220">
        <f>D33+H33+L33+P33</f>
        <v>196149</v>
      </c>
      <c r="U33" s="221">
        <f>SUM(E33+I33+M33+Q33)</f>
        <v>0</v>
      </c>
      <c r="V33" s="221">
        <f>F33+J33+N33+R33</f>
        <v>7149</v>
      </c>
      <c r="W33" s="222">
        <f>SUM(T33:V33)</f>
        <v>203298</v>
      </c>
    </row>
    <row r="34" spans="1:23" ht="19.5" customHeight="1" thickBot="1">
      <c r="A34" s="435" t="s">
        <v>82</v>
      </c>
      <c r="B34" s="223" t="s">
        <v>310</v>
      </c>
      <c r="C34" s="224"/>
      <c r="D34" s="225">
        <f aca="true" t="shared" si="8" ref="D34:W34">SUM(D4:D33)</f>
        <v>167362</v>
      </c>
      <c r="E34" s="226">
        <f t="shared" si="8"/>
        <v>0</v>
      </c>
      <c r="F34" s="226">
        <f t="shared" si="8"/>
        <v>213644</v>
      </c>
      <c r="G34" s="227">
        <f>SUM(G4:G33)</f>
        <v>381006</v>
      </c>
      <c r="H34" s="225">
        <f t="shared" si="8"/>
        <v>39919</v>
      </c>
      <c r="I34" s="226">
        <f t="shared" si="8"/>
        <v>0</v>
      </c>
      <c r="J34" s="226">
        <f t="shared" si="8"/>
        <v>58970</v>
      </c>
      <c r="K34" s="227">
        <f t="shared" si="8"/>
        <v>98889</v>
      </c>
      <c r="L34" s="225">
        <f t="shared" si="8"/>
        <v>196149</v>
      </c>
      <c r="M34" s="226">
        <f t="shared" si="8"/>
        <v>0</v>
      </c>
      <c r="N34" s="226">
        <f t="shared" si="8"/>
        <v>635832</v>
      </c>
      <c r="O34" s="227">
        <f t="shared" si="8"/>
        <v>831981</v>
      </c>
      <c r="P34" s="225">
        <f t="shared" si="8"/>
        <v>77155</v>
      </c>
      <c r="Q34" s="226">
        <f t="shared" si="8"/>
        <v>493</v>
      </c>
      <c r="R34" s="226">
        <f t="shared" si="8"/>
        <v>551718</v>
      </c>
      <c r="S34" s="227">
        <f t="shared" si="8"/>
        <v>629366</v>
      </c>
      <c r="T34" s="445">
        <f t="shared" si="8"/>
        <v>480585</v>
      </c>
      <c r="U34" s="446">
        <f t="shared" si="8"/>
        <v>493</v>
      </c>
      <c r="V34" s="446">
        <f>SUM(V4:V33)</f>
        <v>1460164</v>
      </c>
      <c r="W34" s="447">
        <f t="shared" si="8"/>
        <v>1941242</v>
      </c>
    </row>
    <row r="35" spans="1:23" s="234" customFormat="1" ht="19.5" customHeight="1">
      <c r="A35" s="228"/>
      <c r="B35" s="229"/>
      <c r="C35" s="230"/>
      <c r="D35" s="231"/>
      <c r="E35" s="231"/>
      <c r="F35" s="231"/>
      <c r="G35" s="232"/>
      <c r="H35" s="231"/>
      <c r="I35" s="231"/>
      <c r="J35" s="231"/>
      <c r="K35" s="233"/>
      <c r="L35" s="231"/>
      <c r="M35" s="231"/>
      <c r="N35" s="231"/>
      <c r="O35" s="232"/>
      <c r="P35" s="231"/>
      <c r="Q35" s="231"/>
      <c r="R35" s="231"/>
      <c r="S35" s="232"/>
      <c r="T35" s="232"/>
      <c r="U35" s="232"/>
      <c r="V35" s="232"/>
      <c r="W35" s="232"/>
    </row>
    <row r="36" spans="1:23" s="234" customFormat="1" ht="19.5" customHeight="1">
      <c r="A36" s="228"/>
      <c r="B36" s="235"/>
      <c r="C36" s="236"/>
      <c r="D36" s="232"/>
      <c r="E36" s="232"/>
      <c r="F36" s="232"/>
      <c r="G36" s="232"/>
      <c r="H36" s="232"/>
      <c r="I36" s="232"/>
      <c r="J36" s="232"/>
      <c r="K36" s="233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</row>
    <row r="37" spans="1:23" s="234" customFormat="1" ht="19.5" customHeight="1">
      <c r="A37" s="228"/>
      <c r="B37" s="237"/>
      <c r="C37" s="238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</row>
    <row r="38" spans="4:23" s="234" customFormat="1" ht="12.75"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</row>
  </sheetData>
  <mergeCells count="25">
    <mergeCell ref="A7:A8"/>
    <mergeCell ref="B7:B8"/>
    <mergeCell ref="T1:W1"/>
    <mergeCell ref="D1:G1"/>
    <mergeCell ref="H1:K1"/>
    <mergeCell ref="L1:O1"/>
    <mergeCell ref="P1:S1"/>
    <mergeCell ref="D2:E2"/>
    <mergeCell ref="H2:I2"/>
    <mergeCell ref="P2:Q2"/>
    <mergeCell ref="T2:U2"/>
    <mergeCell ref="V2:V3"/>
    <mergeCell ref="W2:W3"/>
    <mergeCell ref="S2:S3"/>
    <mergeCell ref="R2:R3"/>
    <mergeCell ref="F2:F3"/>
    <mergeCell ref="G2:G3"/>
    <mergeCell ref="J2:J3"/>
    <mergeCell ref="K2:K3"/>
    <mergeCell ref="N2:N3"/>
    <mergeCell ref="O2:O3"/>
    <mergeCell ref="A1:A3"/>
    <mergeCell ref="B1:B3"/>
    <mergeCell ref="C1:C3"/>
    <mergeCell ref="L2:M2"/>
  </mergeCells>
  <printOptions/>
  <pageMargins left="0.17" right="0.16" top="0.83" bottom="0.28" header="0.17" footer="0.17"/>
  <pageSetup horizontalDpi="600" verticalDpi="600" orientation="landscape" paperSize="9" scale="81" r:id="rId1"/>
  <headerFooter alignWithMargins="0">
    <oddHeader>&amp;L 9. melléklet a .../......(......) III.negyedéves tájékoztatóhoz
&amp;C&amp;"Arial CE,Félkövér"&amp;11
Az Önkormányzat és a Kisvárdai Közös Önkormányzati Hivatal szakfeladatainak 2013. III. negyedévi teljesített működési kiadása&amp;R
&amp;8adatok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2013-10-25T07:20:06Z</cp:lastPrinted>
  <dcterms:created xsi:type="dcterms:W3CDTF">1997-01-17T14:02:09Z</dcterms:created>
  <dcterms:modified xsi:type="dcterms:W3CDTF">2013-10-25T07:20:09Z</dcterms:modified>
  <cp:category/>
  <cp:version/>
  <cp:contentType/>
  <cp:contentStatus/>
</cp:coreProperties>
</file>