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firstSheet="5" activeTab="9"/>
  </bookViews>
  <sheets>
    <sheet name="1.sz.mérleg " sheetId="1" r:id="rId1"/>
    <sheet name="2.sz.mérleg működési" sheetId="2" r:id="rId2"/>
    <sheet name="3.sz.mérleg felhalmozási" sheetId="3" r:id="rId3"/>
    <sheet name="4.sz.Bev-kiad." sheetId="4" r:id="rId4"/>
    <sheet name="5.sz.Részben ön." sheetId="5" r:id="rId5"/>
    <sheet name="6.sz.Szakfela." sheetId="6" r:id="rId6"/>
    <sheet name="7.sz.címrend 2" sheetId="7" r:id="rId7"/>
    <sheet name="8.sz.Felhalm." sheetId="8" r:id="rId8"/>
    <sheet name="9.sz.finanszír." sheetId="9" r:id="rId9"/>
    <sheet name="10.sz.Ei.felh." sheetId="10" r:id="rId10"/>
    <sheet name="Munka1" sheetId="11" r:id="rId11"/>
    <sheet name="Munka2" sheetId="12" r:id="rId12"/>
    <sheet name="Munka3" sheetId="13" r:id="rId13"/>
  </sheets>
  <definedNames>
    <definedName name="_xlnm.Print_Area" localSheetId="3">'4.sz.Bev-kiad.'!$A$1:$R$26</definedName>
    <definedName name="_xlnm.Print_Area" localSheetId="4">'5.sz.Részben ön.'!$A$1:$J$28</definedName>
  </definedNames>
  <calcPr fullCalcOnLoad="1"/>
</workbook>
</file>

<file path=xl/sharedStrings.xml><?xml version="1.0" encoding="utf-8"?>
<sst xmlns="http://schemas.openxmlformats.org/spreadsheetml/2006/main" count="1079" uniqueCount="559">
  <si>
    <t>A  2011. évi címrend szerinti költségvetési engedélyezett létszámkeret (álláshely)</t>
  </si>
  <si>
    <t>1. Az önállóan gazdálkodó és működő költségvetési intézmények címrend szerinti engedélyezett létszámkerete</t>
  </si>
  <si>
    <t>A</t>
  </si>
  <si>
    <t xml:space="preserve">B 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</si>
  <si>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</si>
  <si>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</si>
  <si>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</si>
  <si>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</si>
  <si>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</si>
  <si>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</si>
  <si>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</si>
  <si>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</si>
  <si>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</si>
  <si>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</si>
  <si>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</si>
  <si>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Sor szám</t>
  </si>
  <si>
    <t>Megnevezés</t>
  </si>
  <si>
    <t>2010. terv  01.01.</t>
  </si>
  <si>
    <t>2010. terv 12.31.</t>
  </si>
  <si>
    <t>2010. tény</t>
  </si>
  <si>
    <t>2011. terv 01.01.</t>
  </si>
  <si>
    <t>2011. terv 03.01.</t>
  </si>
  <si>
    <t>2011. terv 04.01.</t>
  </si>
  <si>
    <t>2011. terv 07.01.</t>
  </si>
  <si>
    <t>2011. terv 08.15.</t>
  </si>
  <si>
    <t>2011. terv 09.01.</t>
  </si>
  <si>
    <t>2011. terv 11.01.</t>
  </si>
  <si>
    <t>2011. terv 12.01.</t>
  </si>
  <si>
    <t>1.</t>
  </si>
  <si>
    <t>Vári Emil Társulási Általános Iskola</t>
  </si>
  <si>
    <t>2.</t>
  </si>
  <si>
    <t>Bessenyei György Gimn.és Koll.</t>
  </si>
  <si>
    <t>3.</t>
  </si>
  <si>
    <t>II. Rákóczi Ferenc Szakk.és Szakisk.</t>
  </si>
  <si>
    <t>4.</t>
  </si>
  <si>
    <t>Kisvárdai Szolgáltató Szervezet és részben önálló intézményei</t>
  </si>
  <si>
    <t>5.</t>
  </si>
  <si>
    <t>Városi Könyvtár</t>
  </si>
  <si>
    <t>6.</t>
  </si>
  <si>
    <t>Várszínház és Művészetek Háza</t>
  </si>
  <si>
    <t>7.</t>
  </si>
  <si>
    <t>Hivatásos Önkormányzati Tűzoltóság</t>
  </si>
  <si>
    <t>8.</t>
  </si>
  <si>
    <t>Polgári Védelmi Társulás</t>
  </si>
  <si>
    <t>9.</t>
  </si>
  <si>
    <t>Felső Szabolcsi Kórház</t>
  </si>
  <si>
    <t>10.</t>
  </si>
  <si>
    <t>Városi Egészségügyi Alapellátás</t>
  </si>
  <si>
    <t>11.</t>
  </si>
  <si>
    <t>Polgármesteri Hivatal</t>
  </si>
  <si>
    <t>12.</t>
  </si>
  <si>
    <t xml:space="preserve">    Közfoglalkoztatás</t>
  </si>
  <si>
    <t>13.</t>
  </si>
  <si>
    <t xml:space="preserve">    Cigány Kisebbségi Önkormányz.</t>
  </si>
  <si>
    <t>14.</t>
  </si>
  <si>
    <t xml:space="preserve">    Ruszin Kisebbségi Önkormányz.</t>
  </si>
  <si>
    <t>15.</t>
  </si>
  <si>
    <t>16.</t>
  </si>
  <si>
    <t>Összesen</t>
  </si>
  <si>
    <t>2. Az önállóan működő költségvetési intézmények címrend szerinti engedélyezett létszámkerete</t>
  </si>
  <si>
    <t>Sorszám</t>
  </si>
  <si>
    <t>2010 terv 01.01</t>
  </si>
  <si>
    <t>17.</t>
  </si>
  <si>
    <t>Kisvárdai Szolgáltató Szervezet</t>
  </si>
  <si>
    <t>18.</t>
  </si>
  <si>
    <t>4/1</t>
  </si>
  <si>
    <t>Somogyi Rezső Általános Iskola</t>
  </si>
  <si>
    <t>19.</t>
  </si>
  <si>
    <t>4/2.</t>
  </si>
  <si>
    <t>Teichmann Vilmos Általános Iskola</t>
  </si>
  <si>
    <t>20.</t>
  </si>
  <si>
    <t>4/3.</t>
  </si>
  <si>
    <t>Weiner L. Alapf. Zene és Műv. Isk.</t>
  </si>
  <si>
    <t>21.</t>
  </si>
  <si>
    <t>4/4.</t>
  </si>
  <si>
    <t>Csillag-Közi Központi Társ. Óvoda</t>
  </si>
  <si>
    <t>22.</t>
  </si>
  <si>
    <t>4/5.</t>
  </si>
  <si>
    <t>Városi Bölcsőde</t>
  </si>
  <si>
    <t>23.</t>
  </si>
  <si>
    <t>4/6.</t>
  </si>
  <si>
    <t>Kistérségi Szociális Szolgálat</t>
  </si>
  <si>
    <t>24.</t>
  </si>
  <si>
    <t>4/7.</t>
  </si>
  <si>
    <t>Pedagógiai Szakszolgálatok</t>
  </si>
  <si>
    <t>25.</t>
  </si>
  <si>
    <t>1. Bevételek</t>
  </si>
  <si>
    <t>adatok ezer forintban</t>
  </si>
  <si>
    <t>B</t>
  </si>
  <si>
    <t xml:space="preserve">Bevételek </t>
  </si>
  <si>
    <t>2009. évi tény</t>
  </si>
  <si>
    <t>2010. évi tény</t>
  </si>
  <si>
    <t>2011. évi terv</t>
  </si>
  <si>
    <t>2011.évi IV.módosítás</t>
  </si>
  <si>
    <t>2011.évi V.módosítás</t>
  </si>
  <si>
    <t>I.   Működési bevételek</t>
  </si>
  <si>
    <t xml:space="preserve">    1.  Intézményi működési bevételek</t>
  </si>
  <si>
    <t xml:space="preserve">        OEP finansz. intézmény működési bevétel</t>
  </si>
  <si>
    <t xml:space="preserve">    2. Önkormányzat sajátos működési bevételei</t>
  </si>
  <si>
    <t xml:space="preserve">       Iparűzési</t>
  </si>
  <si>
    <t xml:space="preserve">       Kommunális</t>
  </si>
  <si>
    <t xml:space="preserve">       Idegenforgalmi</t>
  </si>
  <si>
    <t xml:space="preserve">       Átengedett központi adó gépjármű</t>
  </si>
  <si>
    <t xml:space="preserve">       SZJA </t>
  </si>
  <si>
    <t xml:space="preserve">       Egyéb sajátos bevétel</t>
  </si>
  <si>
    <t xml:space="preserve">       Bírság, pótlék,egyéb</t>
  </si>
  <si>
    <t>II. Támogatások</t>
  </si>
  <si>
    <t xml:space="preserve">       Normatív hozzájárulás</t>
  </si>
  <si>
    <t xml:space="preserve">       Kötött felhasználású normatíva</t>
  </si>
  <si>
    <t xml:space="preserve">       Tűzoltóság</t>
  </si>
  <si>
    <t xml:space="preserve">       Színház támogatás</t>
  </si>
  <si>
    <t xml:space="preserve">       Központosított szociális támogatás</t>
  </si>
  <si>
    <t xml:space="preserve">       Központosított </t>
  </si>
  <si>
    <t xml:space="preserve">       Fejlesztési célú, vis maior CÉDE támogatás</t>
  </si>
  <si>
    <t xml:space="preserve">       ÖNHIKI támogatás</t>
  </si>
  <si>
    <t xml:space="preserve">       Egyéb központi támogatás</t>
  </si>
  <si>
    <t>III. Felhalmozási és tőkejellegű bevételek</t>
  </si>
  <si>
    <t xml:space="preserve">     1. Tárgyi eszközök, immateriális javak értékesítése</t>
  </si>
  <si>
    <t xml:space="preserve">     2. Önkormányzat sajátos tőke jellegű bevétele</t>
  </si>
  <si>
    <t>26.</t>
  </si>
  <si>
    <t xml:space="preserve">     3. Pénzügyi befektetések bevételei</t>
  </si>
  <si>
    <t>27.</t>
  </si>
  <si>
    <t xml:space="preserve">     4. Egyéb felhalmozási célú bevételek</t>
  </si>
  <si>
    <t>28.</t>
  </si>
  <si>
    <t>IV. Támogatás értékű bevétel</t>
  </si>
  <si>
    <t>29.</t>
  </si>
  <si>
    <t xml:space="preserve">     1. Támogatás értékű működési bevétel</t>
  </si>
  <si>
    <t>30.</t>
  </si>
  <si>
    <r>
      <t xml:space="preserve">         </t>
    </r>
    <r>
      <rPr>
        <sz val="8"/>
        <rFont val="Arial CE"/>
        <family val="2"/>
      </rPr>
      <t>ebből OEP-től átvett</t>
    </r>
  </si>
  <si>
    <t>31.</t>
  </si>
  <si>
    <r>
      <t xml:space="preserve">    </t>
    </r>
    <r>
      <rPr>
        <sz val="8"/>
        <rFont val="Arial CE"/>
        <family val="2"/>
      </rPr>
      <t xml:space="preserve"> 2. Támogatás értékű felhalmozási bevétel</t>
    </r>
  </si>
  <si>
    <t>32.</t>
  </si>
  <si>
    <t xml:space="preserve">         ebből OEP-től átvett</t>
  </si>
  <si>
    <t>33.</t>
  </si>
  <si>
    <t>V.  Véglegesen átvett pénzeszköz</t>
  </si>
  <si>
    <t>34.</t>
  </si>
  <si>
    <t xml:space="preserve">    1. Működési célú pénzeszköz államháztartáson kívülről</t>
  </si>
  <si>
    <t>35.</t>
  </si>
  <si>
    <t xml:space="preserve">    2. Felhalmozási pénzeszköz államháztartáson kívülről</t>
  </si>
  <si>
    <t>36.</t>
  </si>
  <si>
    <t>VI. Támogatási kölcsönök visszatérülése</t>
  </si>
  <si>
    <t>37.</t>
  </si>
  <si>
    <t>38.</t>
  </si>
  <si>
    <t>Költségvetési bevételek összesen I+II+III+IV+V+VI</t>
  </si>
  <si>
    <t>39.</t>
  </si>
  <si>
    <t>VII. Pénzforgalom nélküli bevétel</t>
  </si>
  <si>
    <t>40.</t>
  </si>
  <si>
    <t xml:space="preserve">    1.1. Előző évi várható pénzmaradvány igénybevétel működési</t>
  </si>
  <si>
    <t>41.</t>
  </si>
  <si>
    <t xml:space="preserve">    1.2. Előző évi várható pénzmaradvány igénybevétel felhalmozási</t>
  </si>
  <si>
    <t>42.</t>
  </si>
  <si>
    <t xml:space="preserve">    2. Előző évek vállalkozási maradvány igénybevétele</t>
  </si>
  <si>
    <t>43.</t>
  </si>
  <si>
    <t>44.</t>
  </si>
  <si>
    <t>VIII. Értékpapírok értékesítése, kibocsátása</t>
  </si>
  <si>
    <t>45.</t>
  </si>
  <si>
    <t xml:space="preserve">   1. Forgatási célú értékpapírok bevételei</t>
  </si>
  <si>
    <t>46.</t>
  </si>
  <si>
    <t xml:space="preserve">   2. Befektetési célú értékpapírok bevételei</t>
  </si>
  <si>
    <t>47.</t>
  </si>
  <si>
    <t>IX. Kötvények kibocsátásának bevétele</t>
  </si>
  <si>
    <t>48.</t>
  </si>
  <si>
    <t>X. Hitelek</t>
  </si>
  <si>
    <t>49.</t>
  </si>
  <si>
    <t xml:space="preserve">    Működési célú hitel felvétele</t>
  </si>
  <si>
    <t>50.</t>
  </si>
  <si>
    <t xml:space="preserve">    Likvid hitel felvétele</t>
  </si>
  <si>
    <t>51.</t>
  </si>
  <si>
    <t xml:space="preserve">    Felhalmozási célú hitel felvétele</t>
  </si>
  <si>
    <t>52.</t>
  </si>
  <si>
    <t>XI. Függő, átfutó bevételek</t>
  </si>
  <si>
    <t>53.</t>
  </si>
  <si>
    <t>54.</t>
  </si>
  <si>
    <t>Finanszírozási célú műveletek bevétele VIII+IX+X+XI</t>
  </si>
  <si>
    <t>55.</t>
  </si>
  <si>
    <t>Bevételek összesen 38+39+54</t>
  </si>
  <si>
    <t>2. Kiadások</t>
  </si>
  <si>
    <t xml:space="preserve">Kiadások </t>
  </si>
  <si>
    <t>56.</t>
  </si>
  <si>
    <t>I.  Működési kiadások</t>
  </si>
  <si>
    <t>57.</t>
  </si>
  <si>
    <t xml:space="preserve">      Intézményi kiadások</t>
  </si>
  <si>
    <t>58.</t>
  </si>
  <si>
    <t xml:space="preserve">      OEP intézmény</t>
  </si>
  <si>
    <t>59.</t>
  </si>
  <si>
    <t xml:space="preserve">      Polgármesteri Hivatal</t>
  </si>
  <si>
    <t>60.</t>
  </si>
  <si>
    <t xml:space="preserve">      Cigány kisebbségi önkormányzat</t>
  </si>
  <si>
    <t>61.</t>
  </si>
  <si>
    <t xml:space="preserve">      Ruszin kisebbségi önkormányzat</t>
  </si>
  <si>
    <t>62.</t>
  </si>
  <si>
    <t>Ebből:</t>
  </si>
  <si>
    <t>63.</t>
  </si>
  <si>
    <t xml:space="preserve">      Személyi juttatások</t>
  </si>
  <si>
    <t>64.</t>
  </si>
  <si>
    <t xml:space="preserve">      Munkaadót terhelő járulék</t>
  </si>
  <si>
    <t>65.</t>
  </si>
  <si>
    <t xml:space="preserve">      Ellátottak pénzbeli juttatásai</t>
  </si>
  <si>
    <t>66.</t>
  </si>
  <si>
    <t xml:space="preserve">      Dologi és egyéb folyó kiadások</t>
  </si>
  <si>
    <t>67.</t>
  </si>
  <si>
    <t xml:space="preserve">      Normatív visszafizetés</t>
  </si>
  <si>
    <t>68.</t>
  </si>
  <si>
    <t xml:space="preserve">      Kamat kiadás</t>
  </si>
  <si>
    <t>69.</t>
  </si>
  <si>
    <t xml:space="preserve">      Támogatásértékű kiadás, működési pénzeszköz átadás</t>
  </si>
  <si>
    <t>70.</t>
  </si>
  <si>
    <t xml:space="preserve">  Társadalom- és szociálpolitikai juttatás</t>
  </si>
  <si>
    <t>71.</t>
  </si>
  <si>
    <t xml:space="preserve">  Kölcsönök nyújtása</t>
  </si>
  <si>
    <t>72.</t>
  </si>
  <si>
    <t xml:space="preserve">  Működési célú pénzmaradvány átadás</t>
  </si>
  <si>
    <t>73.</t>
  </si>
  <si>
    <t xml:space="preserve">  Garancia- és kezességvállalás kiadásai</t>
  </si>
  <si>
    <t>74.</t>
  </si>
  <si>
    <t>75.</t>
  </si>
  <si>
    <t>II.  Felhalmozási kiadások</t>
  </si>
  <si>
    <t>76.</t>
  </si>
  <si>
    <t xml:space="preserve">     Beruházások</t>
  </si>
  <si>
    <t>77.</t>
  </si>
  <si>
    <t xml:space="preserve">     Felújítások</t>
  </si>
  <si>
    <t>78.</t>
  </si>
  <si>
    <t xml:space="preserve"> Felhalmozási célú kamatkiadások</t>
  </si>
  <si>
    <t>79.</t>
  </si>
  <si>
    <t xml:space="preserve">     Támogatásértékű és felhalmozási pénzeszköz átadás</t>
  </si>
  <si>
    <t>80.</t>
  </si>
  <si>
    <t xml:space="preserve"> Felhalmozási célú kölcsönök nyújtása</t>
  </si>
  <si>
    <t>81.</t>
  </si>
  <si>
    <t xml:space="preserve">     Egyéb felhalmozási célú kiadások</t>
  </si>
  <si>
    <t>82.</t>
  </si>
  <si>
    <t xml:space="preserve"> Pénzügyi befektetések kiadásai</t>
  </si>
  <si>
    <t>83.</t>
  </si>
  <si>
    <t xml:space="preserve"> Felhalmozási célú pénzmaradvány átadás</t>
  </si>
  <si>
    <t>84.</t>
  </si>
  <si>
    <t>85.</t>
  </si>
  <si>
    <t>III. Tartalék</t>
  </si>
  <si>
    <t>86.</t>
  </si>
  <si>
    <t xml:space="preserve">     Céltartalék</t>
  </si>
  <si>
    <t>87.</t>
  </si>
  <si>
    <t xml:space="preserve">     Általános tartalék</t>
  </si>
  <si>
    <t>88.</t>
  </si>
  <si>
    <t xml:space="preserve">     Felhalmozási tartalék</t>
  </si>
  <si>
    <t>89.</t>
  </si>
  <si>
    <t>IV. Egyéb kiadások</t>
  </si>
  <si>
    <t>90.</t>
  </si>
  <si>
    <t>Költségvetési kiadások összesen I+II+III+IV</t>
  </si>
  <si>
    <t>91.</t>
  </si>
  <si>
    <t>V. Hitelek törlesztése</t>
  </si>
  <si>
    <t>92.</t>
  </si>
  <si>
    <t xml:space="preserve">      Felhalmozási célú hitel törlesztése</t>
  </si>
  <si>
    <t>93.</t>
  </si>
  <si>
    <t xml:space="preserve">      Működési célú hitel törlesztés</t>
  </si>
  <si>
    <t>94.</t>
  </si>
  <si>
    <t xml:space="preserve">      Likvid hitelek törlesztése</t>
  </si>
  <si>
    <t>95.</t>
  </si>
  <si>
    <t>Vi. Értékpapírok beváltása, vásárlása</t>
  </si>
  <si>
    <t>96.</t>
  </si>
  <si>
    <t xml:space="preserve">  Forgatási célú értékpapír beváltása, vásárlása</t>
  </si>
  <si>
    <t>97.</t>
  </si>
  <si>
    <t xml:space="preserve">  Befektetési célú értékpapír beváltása, vásárlása</t>
  </si>
  <si>
    <t>98.</t>
  </si>
  <si>
    <t>VII.Függő, átfutó kiadások</t>
  </si>
  <si>
    <t>99.</t>
  </si>
  <si>
    <t>Finanszírozási célú műveletek kiadása V+VI+VII</t>
  </si>
  <si>
    <t>100.</t>
  </si>
  <si>
    <t>Kiadások összesen 90+99</t>
  </si>
  <si>
    <t>101.</t>
  </si>
  <si>
    <t>102.</t>
  </si>
  <si>
    <t>KÖLTSÉGVETÉSI HIÁNY, TÖBBLET 38-90</t>
  </si>
  <si>
    <t>103.</t>
  </si>
  <si>
    <t>FINANSZÍROZÁSI CÉLÚ MŰVELETEK EGYENLEGE 54-99</t>
  </si>
  <si>
    <t>Bevétel megnevezése</t>
  </si>
  <si>
    <t>2011. évi   terv</t>
  </si>
  <si>
    <t>Kiadás megnevezése</t>
  </si>
  <si>
    <t>Intézményi működési bevételek</t>
  </si>
  <si>
    <t>Személyi juttatások</t>
  </si>
  <si>
    <t>Önkorm. sajátos működési bevételei</t>
  </si>
  <si>
    <t>Munkaadókat terhelő járulék</t>
  </si>
  <si>
    <t>Támogatások, kiegészítések</t>
  </si>
  <si>
    <t>Dologi és egyéb folyó kiadások</t>
  </si>
  <si>
    <t>Támogatásértékű bevételek</t>
  </si>
  <si>
    <t xml:space="preserve">    Normatív visszafizetés</t>
  </si>
  <si>
    <t>Működési célú pénzeszköz átvétel</t>
  </si>
  <si>
    <t>Működési célú kamatkiadások</t>
  </si>
  <si>
    <t>Működési célú kölcsön visszatérülése</t>
  </si>
  <si>
    <t>Ellátottak pénzbeli juttatása</t>
  </si>
  <si>
    <t>Támogatásért.kiadás,pénzeszköz átad.</t>
  </si>
  <si>
    <t>Társadalom- és szociálpolitikai juttatás</t>
  </si>
  <si>
    <t>Garancia- és kezességvállalás kiadása</t>
  </si>
  <si>
    <t>Működési célú kölcsön nyújtása</t>
  </si>
  <si>
    <t>Pénzmaradvány átadás</t>
  </si>
  <si>
    <t>Tartalékok</t>
  </si>
  <si>
    <t>Költségvetési bevételek összesen</t>
  </si>
  <si>
    <t>Költségvetési kiadások összesen</t>
  </si>
  <si>
    <t>Előző évi működési célú pénzmaradvány igénybevétele</t>
  </si>
  <si>
    <t>Rövid lejáratú hitelek törlesztése</t>
  </si>
  <si>
    <t>Előző é. vállalk.eredmény</t>
  </si>
  <si>
    <t>Likvid hitelek törlesztése</t>
  </si>
  <si>
    <t>Rövid lejáratú hitelek felvétel</t>
  </si>
  <si>
    <t>Hosszú lejáratú hitelek törlesztése</t>
  </si>
  <si>
    <t>Likvid hitelek felvétele</t>
  </si>
  <si>
    <t>Forgatási célú értékpapír beváltása</t>
  </si>
  <si>
    <t>Hosszú lejáratú hitelek felvétele</t>
  </si>
  <si>
    <t>Forgatási célú értékpapírok vásárlása</t>
  </si>
  <si>
    <t>Forgatási célú értékpapírok kibocsátása</t>
  </si>
  <si>
    <t>Befektetési célú értékpapír beváltása</t>
  </si>
  <si>
    <t>Forgatási célú értékpapírok értékesítése</t>
  </si>
  <si>
    <t>Befektetési célú értékpapírok vásárlása</t>
  </si>
  <si>
    <t>Befektetési célú értékpapír kibocsátása</t>
  </si>
  <si>
    <t>Függő, átfutó, kiegyenlítő kiadások</t>
  </si>
  <si>
    <t>Befektetési célú értékpapírok ért.</t>
  </si>
  <si>
    <t>Függő, átfutó, kiegyenlítő bevételek</t>
  </si>
  <si>
    <t>Finanszírozási bevételek (16+…+24)</t>
  </si>
  <si>
    <t>Finanszírozási kiadások (14+…+24)</t>
  </si>
  <si>
    <t>ÖSSZES BEVÉTEL (13+14+15+25)</t>
  </si>
  <si>
    <t>ÖSSZES KIADÁS (13+25)</t>
  </si>
  <si>
    <t>Költségvetési hiány:</t>
  </si>
  <si>
    <t>Költségvetési többlet:</t>
  </si>
  <si>
    <t>Tárgyi eszközök, immat. javak értékesítése</t>
  </si>
  <si>
    <t>Intézményi beruházás</t>
  </si>
  <si>
    <t>Önkorm. sajátos felhalmozási bevételei</t>
  </si>
  <si>
    <t>Felújítás</t>
  </si>
  <si>
    <t>Pénzügyi befektetésekből szárm.bevétel</t>
  </si>
  <si>
    <t>Támogatásértékű felhalmozási kiadás</t>
  </si>
  <si>
    <t>Felhalmozási célú kamatbevételek</t>
  </si>
  <si>
    <t>Felhalmozási célú pénzeszközátadás</t>
  </si>
  <si>
    <t>Cél-, címzett és egyéb központi támogatás</t>
  </si>
  <si>
    <t>Pénzügyi befektetések kiadásai</t>
  </si>
  <si>
    <t>Fejlesztési és vis maior támogatás</t>
  </si>
  <si>
    <t>Központosított előirányzat,AJTP normatíva</t>
  </si>
  <si>
    <t>Kölcsönök nyújtása</t>
  </si>
  <si>
    <t>Felhalmozási célú pénzmaradv. átadás</t>
  </si>
  <si>
    <t>Átvett pénzeszköz államháztart. kívülről</t>
  </si>
  <si>
    <t>Felhalmozási célú kamatkiadások</t>
  </si>
  <si>
    <t>Kölcsönök visszatérülése</t>
  </si>
  <si>
    <t>Egyéb kiadások</t>
  </si>
  <si>
    <t>Fejlesztések visszaigényelhető áfája</t>
  </si>
  <si>
    <t>Költségvetési bevételek összesen:</t>
  </si>
  <si>
    <t>Költségvetési kiadások összesen:</t>
  </si>
  <si>
    <t>Előző évi felh. célú pénzm. igénybev.</t>
  </si>
  <si>
    <t>Rövid lejáratú hitelek felvétele</t>
  </si>
  <si>
    <t>Forgatási célú értékpapír kibocsátása</t>
  </si>
  <si>
    <t>Befektetési célú értékpapírok értékesítése</t>
  </si>
  <si>
    <t>Finanszírozási célú bevétel (14+…+22)</t>
  </si>
  <si>
    <t>Finanszírozási célú kiadás (13+...+22)</t>
  </si>
  <si>
    <t>BEVÉTELEK ÖSSZESEN (12+13+23)</t>
  </si>
  <si>
    <t>KIADÁSOK ÖSSZESEN (12+23)</t>
  </si>
  <si>
    <t>N</t>
  </si>
  <si>
    <t>O</t>
  </si>
  <si>
    <t>P</t>
  </si>
  <si>
    <t>Q</t>
  </si>
  <si>
    <t>B E V É T E L E K</t>
  </si>
  <si>
    <t>K I A D Á S O K</t>
  </si>
  <si>
    <t>Intézmény neve</t>
  </si>
  <si>
    <t>Saját</t>
  </si>
  <si>
    <t>Normatíva</t>
  </si>
  <si>
    <t>Kistérségi és egyéb támogatás</t>
  </si>
  <si>
    <t>Önkor-mányzati támogatás</t>
  </si>
  <si>
    <t>Pénzma- radvány</t>
  </si>
  <si>
    <t>Támogatás értékű és átvett pénzesz- köz</t>
  </si>
  <si>
    <t>Felhalmo-zás</t>
  </si>
  <si>
    <t>Hitel</t>
  </si>
  <si>
    <t>Személyi</t>
  </si>
  <si>
    <t>Járulékok</t>
  </si>
  <si>
    <t>Dologi és támogatás</t>
  </si>
  <si>
    <t>Ellátottak juttatása</t>
  </si>
  <si>
    <t>Bessenyei György Gimnázium</t>
  </si>
  <si>
    <t xml:space="preserve"> - ebből AJTP</t>
  </si>
  <si>
    <t>II. Rákóczi Ferenc Szakközép- Szakiskola</t>
  </si>
  <si>
    <t>Önkormányzati Tűzoltóság</t>
  </si>
  <si>
    <t xml:space="preserve">Polgári Védelmi Társulás </t>
  </si>
  <si>
    <t>Intézmény összesen</t>
  </si>
  <si>
    <t>Felső-Szabolcsi Kórház</t>
  </si>
  <si>
    <t>Egészségügyi Alapellátás</t>
  </si>
  <si>
    <t>OEP finanszírozott összesen</t>
  </si>
  <si>
    <t>Kisebbségi Önkormányzatok</t>
  </si>
  <si>
    <t>Mindösszesen</t>
  </si>
  <si>
    <t xml:space="preserve">      </t>
  </si>
  <si>
    <t>1. A Kisvárdai Szolgáltató Szervezethez tartozó önállóan működő intézmények bevételi előirányzatai</t>
  </si>
  <si>
    <t>Intézmény megnevezése</t>
  </si>
  <si>
    <t>Saját bevétel</t>
  </si>
  <si>
    <t>Önkorm. támogatás</t>
  </si>
  <si>
    <t>Átvett pénzesz- köz</t>
  </si>
  <si>
    <t>Pénzma-radvány</t>
  </si>
  <si>
    <t>Felhalmo- zási     bevétel</t>
  </si>
  <si>
    <t>Csillag-Közi Központi Társulási Óvoda</t>
  </si>
  <si>
    <t>Weiner Leó Alapfokú Zene és Művészeti</t>
  </si>
  <si>
    <t xml:space="preserve">Kistérségi Szociális Szolgálat </t>
  </si>
  <si>
    <t>Szolgáltató Szervezet</t>
  </si>
  <si>
    <t>2. A Kisvárdai Szolgáltató Szervezethez tartozó önállóan működő intézmények kiadásai előirányzatai</t>
  </si>
  <si>
    <t>Személyi jellegű kiadás</t>
  </si>
  <si>
    <t>Munka- adót terhelő járulékok</t>
  </si>
  <si>
    <t>Dologi jellegű kiadás</t>
  </si>
  <si>
    <t>Ellátottak pénzbeli juttatásai</t>
  </si>
  <si>
    <t>Felhalmo- zási kiadások</t>
  </si>
  <si>
    <t xml:space="preserve"> </t>
  </si>
  <si>
    <t>Tevékenység</t>
  </si>
  <si>
    <t>Szakfeladat száma</t>
  </si>
  <si>
    <t>Bér és bérjellegű</t>
  </si>
  <si>
    <t>Járulék</t>
  </si>
  <si>
    <t>Támogatás</t>
  </si>
  <si>
    <t>Dologi kiadás</t>
  </si>
  <si>
    <t>Műk. kölcsön nyújtása</t>
  </si>
  <si>
    <t>Lét- szám (fő)</t>
  </si>
  <si>
    <t>Lét- szám (fő) közfogl</t>
  </si>
  <si>
    <t>Saját bevétel, átvett pénzeszköz</t>
  </si>
  <si>
    <t>Önkormányzatok  igazgatási tevékenysége</t>
  </si>
  <si>
    <t>841-126</t>
  </si>
  <si>
    <t>Önkormányzati jogalkotás</t>
  </si>
  <si>
    <t>841-112</t>
  </si>
  <si>
    <t>Város és községgazdálkodás</t>
  </si>
  <si>
    <t>Ingatlankezelés</t>
  </si>
  <si>
    <t>682-001      682-002</t>
  </si>
  <si>
    <t>Hosszabb időtartamú közfoglalkoztatás</t>
  </si>
  <si>
    <t>890-442</t>
  </si>
  <si>
    <t>Rövid időtartamú közfoglalkoztatás</t>
  </si>
  <si>
    <t>890-441</t>
  </si>
  <si>
    <t>Egyéb közfoglalkoztatás</t>
  </si>
  <si>
    <t>890-443</t>
  </si>
  <si>
    <t>Versenysport tevékenység támogatása</t>
  </si>
  <si>
    <t>931-201</t>
  </si>
  <si>
    <t>Önkormányzatok nemzetközi kapcsolatai</t>
  </si>
  <si>
    <t>842-155</t>
  </si>
  <si>
    <t>Nemzeti ünnepek programjai</t>
  </si>
  <si>
    <t>841-191</t>
  </si>
  <si>
    <t>Kiemelt állami és önkormányzati rendezvény</t>
  </si>
  <si>
    <t>841-192</t>
  </si>
  <si>
    <t>Közművelődési tev. támogatása</t>
  </si>
  <si>
    <t>910-501</t>
  </si>
  <si>
    <t>Civil szervezetek támogatása</t>
  </si>
  <si>
    <t>890-301</t>
  </si>
  <si>
    <t>Speciális tehetséggondozó program</t>
  </si>
  <si>
    <t>890-115</t>
  </si>
  <si>
    <t>További szakfeladatok</t>
  </si>
  <si>
    <t>Szociális ellátások</t>
  </si>
  <si>
    <t>Általános tartalék</t>
  </si>
  <si>
    <t>Kisebbségi önkormányzatok</t>
  </si>
  <si>
    <t>841-127</t>
  </si>
  <si>
    <t xml:space="preserve">M I N D Ö S S Z E S E N </t>
  </si>
  <si>
    <t>2. Az államháztartáson kívülre nyújtott támogatások részletezése</t>
  </si>
  <si>
    <t>Összeg</t>
  </si>
  <si>
    <t>Sportegyesületek támogatása</t>
  </si>
  <si>
    <t>Polgárőrség támogatása</t>
  </si>
  <si>
    <t>ISZC KHT támogatása</t>
  </si>
  <si>
    <t>Rendőrség támogatása</t>
  </si>
  <si>
    <t>1. Az önkormányzathoz tartozó intézmények felhalmozási bevételei</t>
  </si>
  <si>
    <t>Bevételek</t>
  </si>
  <si>
    <t>2011. terv</t>
  </si>
  <si>
    <t>2011. IV.  módosítás</t>
  </si>
  <si>
    <t>2011. V.  módosítás</t>
  </si>
  <si>
    <t>Ingatlan értékesítés</t>
  </si>
  <si>
    <t>Ingatlan értékesítés ÁFÁ-ja</t>
  </si>
  <si>
    <t>Lakossági közműfejlesztés támogatás</t>
  </si>
  <si>
    <t>Szennyvízcsatorna hálózat II. ütem előkészítéséhez KEOP támogatás</t>
  </si>
  <si>
    <t>Szennyvízcsatorna hálózat II. ütem előkészítéséhez kötvény</t>
  </si>
  <si>
    <t>Szennyvízcsatorna hálózat II. ütem előkészítéséhez lakossági hozzájárulás</t>
  </si>
  <si>
    <t>Szennyvízcsatorna hálózat II. ütem visszaigényelhető ÁFA-ja</t>
  </si>
  <si>
    <t>Magyar úti Óvoda akadálymentesítése ÉAOP-4.1.5-09 támogatás</t>
  </si>
  <si>
    <t>Vári Emil tetőfelújításra vis maior támogatás</t>
  </si>
  <si>
    <t>Kompetencia alapú oktatás bevezetése TÁMOP-3.1.4 támogatás</t>
  </si>
  <si>
    <t>Új szervezés-működési kultúra pályázat ÁROP támogatás</t>
  </si>
  <si>
    <t>Tanulói laptop beszerzése TIOP-1.1.1. pályázat</t>
  </si>
  <si>
    <t xml:space="preserve">Tanulói laptopok beszerzéséhez kötvény felhasználás </t>
  </si>
  <si>
    <t>Időskorúak, fogyatékkal élők nappali ell. ÉAOP.4.1.3. pályázat</t>
  </si>
  <si>
    <t>Időskorúak és fogyatékkal élők nappali ellátása kötvény felhasználás</t>
  </si>
  <si>
    <t>Városközpont funkcióbővítő fejlesztése ÉAOP-5.1.1/D támogatás</t>
  </si>
  <si>
    <t>Városközpont funkcióbővítő fejlesztéséhez kötvény felhasználás</t>
  </si>
  <si>
    <t>Számítástechn.eszközbeszerzés(okt. intézm.)TIOP-1.1.1-07/1 támogatás</t>
  </si>
  <si>
    <t>Önkormányzati vagyon, egyéb helyiségek bérbeadásának bevétele</t>
  </si>
  <si>
    <t>Bessenyei Gimnázium Arany János Tehetséggondozó program</t>
  </si>
  <si>
    <t>Városi Könyvtár felhalm. célú támogatás</t>
  </si>
  <si>
    <t xml:space="preserve">Kórház felújítás, beruházásra átvett OEP-től </t>
  </si>
  <si>
    <t>Kórház pénzmaradvány</t>
  </si>
  <si>
    <t>Önk. Hiv. Tűzoltóság pénzmaradvány</t>
  </si>
  <si>
    <t>Várszínház és Műv. Háza pénzmaradvány</t>
  </si>
  <si>
    <t>Hivatal kötvény pénzmaradvány</t>
  </si>
  <si>
    <t>Folyékony hulladék elhelyezés (Környezetvédelmi Alap)</t>
  </si>
  <si>
    <t>Tompos úti óvoda felújításhoz ÉAOP 4.1.1/A.támogatás</t>
  </si>
  <si>
    <t>Tompos úti óvoda felújításhoz kötvény felhasználás</t>
  </si>
  <si>
    <t>KSZSZ gépek vásárlására, jármű felújítására felhalm.önkorm.támogatás</t>
  </si>
  <si>
    <t>II. Rákóczi F.SZKI TISZK-től átvett pénzeszköz</t>
  </si>
  <si>
    <t>Sportöltöző felújításának támogatása</t>
  </si>
  <si>
    <t>Parlagfűmentesítés támogatása</t>
  </si>
  <si>
    <t>Szociális földprogram tám. Wekerle S. Alapkezelő</t>
  </si>
  <si>
    <t>Várszínház és Műv. Háza felhalm.célú támogatás</t>
  </si>
  <si>
    <t>Összesen:</t>
  </si>
  <si>
    <t>2. Az önkormányzathoz tartozó intézmények felhalmozási kiadásai</t>
  </si>
  <si>
    <t>Kiadások</t>
  </si>
  <si>
    <t xml:space="preserve">Ingatlan értékesítés ÁFA </t>
  </si>
  <si>
    <t>Lakossági közműfejlesztés támogatása</t>
  </si>
  <si>
    <t xml:space="preserve">Szennyvízcsatorna hálózat II. ütem </t>
  </si>
  <si>
    <t>Szennyvízcsatorna hálózat II. ütem ÁFA összege</t>
  </si>
  <si>
    <t>Magyar úti óvoda akadálymentesítési munkálatai</t>
  </si>
  <si>
    <t xml:space="preserve">Időskorúak és fogyatékkal élők nappali ellátása </t>
  </si>
  <si>
    <t>Számítástechnikai eszközök beszerzése oktatási intézmények részére</t>
  </si>
  <si>
    <t>Tervek, tanulmányok készítése, pályázatírás áthúzódó költsége</t>
  </si>
  <si>
    <t xml:space="preserve">Városközpont funkcióbővítő fejlesztése </t>
  </si>
  <si>
    <t>Csillag-közi Óvoda tetőszigetelése</t>
  </si>
  <si>
    <t>Darusziget utca csapadékvíz zárt kivezető csatorna építése</t>
  </si>
  <si>
    <t>Szüret út kisajátításának költsége testületi döntés alapján</t>
  </si>
  <si>
    <t xml:space="preserve">Ingatlankezelés szakfeladat épületfelújítás </t>
  </si>
  <si>
    <t>Szennyvízcsatorna hálózat kiépítése  (5 fél utca)</t>
  </si>
  <si>
    <t>Kistérségi Szociális Szolgálat homlokzat felújítása</t>
  </si>
  <si>
    <t>Szeméttároló edények beszerzése</t>
  </si>
  <si>
    <t>Besszenyei Gimnázium és Kollégium eszközbeszerzés AJTP</t>
  </si>
  <si>
    <t>Hiteltörlesztés</t>
  </si>
  <si>
    <t>Gépkocsi lízingdíj hivatal</t>
  </si>
  <si>
    <t>Városi Könyvtár eszközbeszerzés, világítás korszerűsítés</t>
  </si>
  <si>
    <t>Kórház felújítás, felhalmozás</t>
  </si>
  <si>
    <t>Számítástechnikai eszközök, berendezések beszerzése</t>
  </si>
  <si>
    <t>Önk. Hiv. Tűzoltóság járműbeszerzés pénzmaradványból</t>
  </si>
  <si>
    <t>Várszínház és Műv. Háza színpadfelújítás pénzmaradványból</t>
  </si>
  <si>
    <t>Polg. Hivatal kötvény felhalmozási tartalék</t>
  </si>
  <si>
    <t>Tompos úti óvoda felújítása</t>
  </si>
  <si>
    <t>Ivóvíz vezeték kiépítése Körny véd.Alap terhére (folyékony hull. elhelyezés)</t>
  </si>
  <si>
    <t>KSZSZ gépek vásárlása, jármű felújítása</t>
  </si>
  <si>
    <t>II. Rákóczi F.SZKI beruházási kiadások (TISZK)</t>
  </si>
  <si>
    <t>Sportöltöző felújítása</t>
  </si>
  <si>
    <t>Parlagfűmentesítéshez fűkasza vásárlás</t>
  </si>
  <si>
    <t>Várszínház és Műv. Háza hangtechnikai eszközök vásárlása</t>
  </si>
  <si>
    <t>Szociális földprogram felújítási kiadások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</si>
  <si>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</si>
  <si>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</si>
  <si>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</si>
  <si>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</si>
  <si>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</si>
  <si>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</si>
  <si>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</si>
  <si>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</si>
  <si>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</si>
  <si>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</si>
  <si>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</si>
  <si>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</si>
  <si>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II.Rákóczi F.Szakközép-Szakiskola</t>
  </si>
  <si>
    <t xml:space="preserve">  </t>
  </si>
  <si>
    <t>Márius</t>
  </si>
  <si>
    <t xml:space="preserve">Május </t>
  </si>
  <si>
    <t>Aug.</t>
  </si>
  <si>
    <t>Szept.</t>
  </si>
  <si>
    <t>Okt.</t>
  </si>
  <si>
    <t>Nov.</t>
  </si>
  <si>
    <t>Dec.</t>
  </si>
  <si>
    <t xml:space="preserve">1. </t>
  </si>
  <si>
    <t>Bevételi előirányzatok</t>
  </si>
  <si>
    <t>Működési bevételek</t>
  </si>
  <si>
    <t>Támogatások</t>
  </si>
  <si>
    <t>Felhalmozási és tőkejellegű bevétel</t>
  </si>
  <si>
    <t>Támogatás értékű bevétel</t>
  </si>
  <si>
    <t>Átvett pénzeszköz</t>
  </si>
  <si>
    <t>Előző évi pénzmaradvány</t>
  </si>
  <si>
    <t xml:space="preserve">Hitelek </t>
  </si>
  <si>
    <t>Értékpapír ért.,kötvény kibocsátás</t>
  </si>
  <si>
    <t>Bevételi előirányzat összesen</t>
  </si>
  <si>
    <t>Kiadási előirányzatok</t>
  </si>
  <si>
    <t>Személyi juttatás</t>
  </si>
  <si>
    <t>Dologi jellegű kiadások</t>
  </si>
  <si>
    <t>Támogatások elvonások</t>
  </si>
  <si>
    <t>Felhalmozási kiadások</t>
  </si>
  <si>
    <t>Kiadási előirányzat összesen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</si>
</sst>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0\ _F_t_-;\-* #,##0.00\ _F_t_-;_-* \-??\ _F_t_-;_-@_-"/>
    <numFmt numFmtId="166" formatCode="yyyy\-mm\-dd"/>
    <numFmt numFmtId="167" formatCode="#,##0_ ;\-#,##0\ "/>
  </numFmts>
  <fonts count="24">
    <font>
      <sz val="10"/>
      <name val="Arial CE"/>
      <family val="0"/>
    </font>
    <font>
      <sz val="10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i/>
      <sz val="12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i/>
      <sz val="9"/>
      <name val="Arial CE"/>
      <family val="2"/>
    </font>
    <font>
      <sz val="7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b/>
      <i/>
      <sz val="11"/>
      <name val="Arial CE"/>
      <family val="2"/>
    </font>
    <font>
      <b/>
      <sz val="10"/>
      <name val="Arial"/>
      <family val="2"/>
    </font>
    <font>
      <b/>
      <i/>
      <sz val="10"/>
      <name val="Arial CE"/>
      <family val="2"/>
    </font>
    <font>
      <b/>
      <sz val="7"/>
      <name val="Arial CE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2">
    <xf numFmtId="0" fontId="0" fillId="0" borderId="0" xfId="0" applyAlignment="1">
      <alignment/>
    </xf>
    <xf numFmtId="0" fontId="0" fillId="0" borderId="0" xfId="23" applyFont="1">
      <alignment/>
      <protection/>
    </xf>
    <xf numFmtId="0" fontId="4" fillId="0" borderId="0" xfId="23" applyFont="1" applyAlignment="1">
      <alignment horizontal="center"/>
      <protection/>
    </xf>
    <xf numFmtId="0" fontId="5" fillId="0" borderId="0" xfId="23" applyFont="1">
      <alignment/>
      <protection/>
    </xf>
    <xf numFmtId="0" fontId="0" fillId="0" borderId="1" xfId="23" applyFont="1" applyBorder="1">
      <alignment/>
      <protection/>
    </xf>
    <xf numFmtId="0" fontId="0" fillId="0" borderId="2" xfId="23" applyFont="1" applyBorder="1" applyAlignment="1">
      <alignment horizontal="center"/>
      <protection/>
    </xf>
    <xf numFmtId="0" fontId="0" fillId="0" borderId="3" xfId="23" applyFont="1" applyBorder="1" applyAlignment="1">
      <alignment horizontal="center"/>
      <protection/>
    </xf>
    <xf numFmtId="0" fontId="0" fillId="0" borderId="4" xfId="23" applyFont="1" applyBorder="1" applyAlignment="1">
      <alignment horizontal="center"/>
      <protection/>
    </xf>
    <xf numFmtId="0" fontId="0" fillId="0" borderId="5" xfId="23" applyFont="1" applyBorder="1" applyAlignment="1">
      <alignment horizontal="center"/>
      <protection/>
    </xf>
    <xf numFmtId="0" fontId="0" fillId="0" borderId="6" xfId="23" applyFont="1" applyBorder="1" applyAlignment="1">
      <alignment horizontal="center"/>
      <protection/>
    </xf>
    <xf numFmtId="0" fontId="0" fillId="0" borderId="7" xfId="23" applyFont="1" applyBorder="1">
      <alignment/>
      <protection/>
    </xf>
    <xf numFmtId="0" fontId="3" fillId="2" borderId="8" xfId="23" applyFont="1" applyFill="1" applyBorder="1" applyAlignment="1">
      <alignment horizontal="center" vertical="center" wrapText="1"/>
      <protection/>
    </xf>
    <xf numFmtId="0" fontId="0" fillId="2" borderId="9" xfId="23" applyFont="1" applyFill="1" applyBorder="1" applyAlignment="1">
      <alignment horizontal="center" vertical="center" wrapText="1"/>
      <protection/>
    </xf>
    <xf numFmtId="0" fontId="6" fillId="2" borderId="10" xfId="23" applyFont="1" applyFill="1" applyBorder="1" applyAlignment="1">
      <alignment horizontal="center" vertical="center" wrapText="1"/>
      <protection/>
    </xf>
    <xf numFmtId="0" fontId="6" fillId="2" borderId="11" xfId="23" applyFont="1" applyFill="1" applyBorder="1" applyAlignment="1">
      <alignment horizontal="center" vertical="center" wrapText="1"/>
      <protection/>
    </xf>
    <xf numFmtId="0" fontId="6" fillId="2" borderId="12" xfId="23" applyFont="1" applyFill="1" applyBorder="1" applyAlignment="1">
      <alignment horizontal="center" vertical="center" wrapText="1"/>
      <protection/>
    </xf>
    <xf numFmtId="0" fontId="6" fillId="2" borderId="13" xfId="23" applyFont="1" applyFill="1" applyBorder="1" applyAlignment="1">
      <alignment horizontal="center" vertical="center" wrapText="1"/>
      <protection/>
    </xf>
    <xf numFmtId="0" fontId="0" fillId="0" borderId="14" xfId="23" applyFont="1" applyBorder="1">
      <alignment/>
      <protection/>
    </xf>
    <xf numFmtId="0" fontId="6" fillId="0" borderId="15" xfId="23" applyFont="1" applyBorder="1" applyAlignment="1">
      <alignment horizontal="center"/>
      <protection/>
    </xf>
    <xf numFmtId="0" fontId="6" fillId="0" borderId="16" xfId="23" applyFont="1" applyBorder="1">
      <alignment/>
      <protection/>
    </xf>
    <xf numFmtId="0" fontId="0" fillId="0" borderId="16" xfId="23" applyFont="1" applyBorder="1">
      <alignment/>
      <protection/>
    </xf>
    <xf numFmtId="3" fontId="0" fillId="0" borderId="16" xfId="23" applyNumberFormat="1" applyFont="1" applyBorder="1">
      <alignment/>
      <protection/>
    </xf>
    <xf numFmtId="3" fontId="0" fillId="0" borderId="17" xfId="23" applyNumberFormat="1" applyFont="1" applyBorder="1">
      <alignment/>
      <protection/>
    </xf>
    <xf numFmtId="3" fontId="0" fillId="3" borderId="17" xfId="23" applyNumberFormat="1" applyFont="1" applyFill="1" applyBorder="1">
      <alignment/>
      <protection/>
    </xf>
    <xf numFmtId="3" fontId="0" fillId="3" borderId="18" xfId="23" applyNumberFormat="1" applyFont="1" applyFill="1" applyBorder="1">
      <alignment/>
      <protection/>
    </xf>
    <xf numFmtId="3" fontId="0" fillId="3" borderId="19" xfId="23" applyNumberFormat="1" applyFont="1" applyFill="1" applyBorder="1">
      <alignment/>
      <protection/>
    </xf>
    <xf numFmtId="0" fontId="6" fillId="0" borderId="20" xfId="23" applyFont="1" applyBorder="1" applyAlignment="1">
      <alignment horizontal="center"/>
      <protection/>
    </xf>
    <xf numFmtId="0" fontId="6" fillId="0" borderId="21" xfId="23" applyFont="1" applyBorder="1">
      <alignment/>
      <protection/>
    </xf>
    <xf numFmtId="0" fontId="0" fillId="0" borderId="21" xfId="23" applyFont="1" applyBorder="1">
      <alignment/>
      <protection/>
    </xf>
    <xf numFmtId="3" fontId="0" fillId="0" borderId="21" xfId="23" applyNumberFormat="1" applyFont="1" applyBorder="1">
      <alignment/>
      <protection/>
    </xf>
    <xf numFmtId="3" fontId="0" fillId="0" borderId="22" xfId="23" applyNumberFormat="1" applyFont="1" applyBorder="1">
      <alignment/>
      <protection/>
    </xf>
    <xf numFmtId="3" fontId="0" fillId="3" borderId="22" xfId="23" applyNumberFormat="1" applyFont="1" applyFill="1" applyBorder="1">
      <alignment/>
      <protection/>
    </xf>
    <xf numFmtId="3" fontId="0" fillId="3" borderId="23" xfId="23" applyNumberFormat="1" applyFont="1" applyFill="1" applyBorder="1">
      <alignment/>
      <protection/>
    </xf>
    <xf numFmtId="3" fontId="0" fillId="3" borderId="24" xfId="23" applyNumberFormat="1" applyFont="1" applyFill="1" applyBorder="1">
      <alignment/>
      <protection/>
    </xf>
    <xf numFmtId="0" fontId="6" fillId="0" borderId="21" xfId="23" applyFont="1" applyBorder="1" applyAlignment="1">
      <alignment wrapText="1"/>
      <protection/>
    </xf>
    <xf numFmtId="0" fontId="0" fillId="0" borderId="22" xfId="23" applyFont="1" applyBorder="1">
      <alignment/>
      <protection/>
    </xf>
    <xf numFmtId="0" fontId="0" fillId="3" borderId="22" xfId="23" applyFont="1" applyFill="1" applyBorder="1">
      <alignment/>
      <protection/>
    </xf>
    <xf numFmtId="0" fontId="0" fillId="3" borderId="23" xfId="23" applyFont="1" applyFill="1" applyBorder="1">
      <alignment/>
      <protection/>
    </xf>
    <xf numFmtId="0" fontId="0" fillId="3" borderId="24" xfId="23" applyFont="1" applyFill="1" applyBorder="1">
      <alignment/>
      <protection/>
    </xf>
    <xf numFmtId="0" fontId="6" fillId="0" borderId="21" xfId="22" applyFont="1" applyBorder="1">
      <alignment/>
      <protection/>
    </xf>
    <xf numFmtId="0" fontId="6" fillId="0" borderId="25" xfId="23" applyFont="1" applyBorder="1" applyAlignment="1">
      <alignment horizontal="center"/>
      <protection/>
    </xf>
    <xf numFmtId="0" fontId="6" fillId="0" borderId="26" xfId="23" applyFont="1" applyBorder="1">
      <alignment/>
      <protection/>
    </xf>
    <xf numFmtId="3" fontId="0" fillId="0" borderId="26" xfId="23" applyNumberFormat="1" applyBorder="1">
      <alignment/>
      <protection/>
    </xf>
    <xf numFmtId="3" fontId="0" fillId="0" borderId="26" xfId="23" applyNumberFormat="1" applyFont="1" applyBorder="1">
      <alignment/>
      <protection/>
    </xf>
    <xf numFmtId="0" fontId="0" fillId="0" borderId="26" xfId="23" applyFont="1" applyBorder="1">
      <alignment/>
      <protection/>
    </xf>
    <xf numFmtId="3" fontId="0" fillId="0" borderId="27" xfId="23" applyNumberFormat="1" applyFont="1" applyBorder="1">
      <alignment/>
      <protection/>
    </xf>
    <xf numFmtId="0" fontId="0" fillId="0" borderId="27" xfId="23" applyFont="1" applyBorder="1">
      <alignment/>
      <protection/>
    </xf>
    <xf numFmtId="0" fontId="0" fillId="3" borderId="27" xfId="23" applyFont="1" applyFill="1" applyBorder="1">
      <alignment/>
      <protection/>
    </xf>
    <xf numFmtId="0" fontId="0" fillId="3" borderId="28" xfId="23" applyFont="1" applyFill="1" applyBorder="1">
      <alignment/>
      <protection/>
    </xf>
    <xf numFmtId="0" fontId="0" fillId="3" borderId="29" xfId="23" applyFont="1" applyFill="1" applyBorder="1">
      <alignment/>
      <protection/>
    </xf>
    <xf numFmtId="0" fontId="0" fillId="0" borderId="30" xfId="23" applyFont="1" applyBorder="1">
      <alignment/>
      <protection/>
    </xf>
    <xf numFmtId="0" fontId="6" fillId="0" borderId="8" xfId="23" applyFont="1" applyBorder="1">
      <alignment/>
      <protection/>
    </xf>
    <xf numFmtId="0" fontId="7" fillId="0" borderId="9" xfId="23" applyFont="1" applyBorder="1">
      <alignment/>
      <protection/>
    </xf>
    <xf numFmtId="3" fontId="7" fillId="0" borderId="10" xfId="23" applyNumberFormat="1" applyFont="1" applyBorder="1">
      <alignment/>
      <protection/>
    </xf>
    <xf numFmtId="3" fontId="7" fillId="0" borderId="11" xfId="23" applyNumberFormat="1" applyFont="1" applyBorder="1">
      <alignment/>
      <protection/>
    </xf>
    <xf numFmtId="3" fontId="7" fillId="3" borderId="11" xfId="23" applyNumberFormat="1" applyFont="1" applyFill="1" applyBorder="1">
      <alignment/>
      <protection/>
    </xf>
    <xf numFmtId="3" fontId="7" fillId="3" borderId="12" xfId="23" applyNumberFormat="1" applyFont="1" applyFill="1" applyBorder="1">
      <alignment/>
      <protection/>
    </xf>
    <xf numFmtId="3" fontId="7" fillId="3" borderId="13" xfId="23" applyNumberFormat="1" applyFont="1" applyFill="1" applyBorder="1">
      <alignment/>
      <protection/>
    </xf>
    <xf numFmtId="0" fontId="6" fillId="0" borderId="0" xfId="23" applyFont="1">
      <alignment/>
      <protection/>
    </xf>
    <xf numFmtId="0" fontId="0" fillId="3" borderId="0" xfId="23" applyFont="1" applyFill="1">
      <alignment/>
      <protection/>
    </xf>
    <xf numFmtId="0" fontId="0" fillId="3" borderId="4" xfId="23" applyFont="1" applyFill="1" applyBorder="1" applyAlignment="1">
      <alignment horizontal="center"/>
      <protection/>
    </xf>
    <xf numFmtId="0" fontId="0" fillId="2" borderId="10" xfId="23" applyFont="1" applyFill="1" applyBorder="1" applyAlignment="1">
      <alignment horizontal="center" vertical="center" wrapText="1"/>
      <protection/>
    </xf>
    <xf numFmtId="0" fontId="6" fillId="0" borderId="31" xfId="23" applyFont="1" applyFill="1" applyBorder="1" applyAlignment="1">
      <alignment horizontal="center"/>
      <protection/>
    </xf>
    <xf numFmtId="0" fontId="6" fillId="0" borderId="16" xfId="23" applyFont="1" applyFill="1" applyBorder="1" applyAlignment="1">
      <alignment horizontal="left"/>
      <protection/>
    </xf>
    <xf numFmtId="0" fontId="0" fillId="0" borderId="16" xfId="23" applyFont="1" applyFill="1" applyBorder="1" applyAlignment="1">
      <alignment horizontal="right"/>
      <protection/>
    </xf>
    <xf numFmtId="0" fontId="0" fillId="0" borderId="17" xfId="23" applyFont="1" applyFill="1" applyBorder="1" applyAlignment="1">
      <alignment horizontal="right"/>
      <protection/>
    </xf>
    <xf numFmtId="0" fontId="0" fillId="3" borderId="17" xfId="23" applyFont="1" applyFill="1" applyBorder="1" applyAlignment="1">
      <alignment horizontal="right"/>
      <protection/>
    </xf>
    <xf numFmtId="0" fontId="0" fillId="3" borderId="18" xfId="23" applyFont="1" applyFill="1" applyBorder="1" applyAlignment="1">
      <alignment horizontal="right"/>
      <protection/>
    </xf>
    <xf numFmtId="0" fontId="0" fillId="3" borderId="19" xfId="23" applyFont="1" applyFill="1" applyBorder="1" applyAlignment="1">
      <alignment horizontal="right"/>
      <protection/>
    </xf>
    <xf numFmtId="49" fontId="6" fillId="0" borderId="32" xfId="23" applyNumberFormat="1" applyFont="1" applyBorder="1" applyAlignment="1">
      <alignment horizontal="center"/>
      <protection/>
    </xf>
    <xf numFmtId="0" fontId="0" fillId="0" borderId="21" xfId="23" applyBorder="1">
      <alignment/>
      <protection/>
    </xf>
    <xf numFmtId="0" fontId="0" fillId="0" borderId="21" xfId="23" applyFont="1" applyFill="1" applyBorder="1" applyAlignment="1">
      <alignment horizontal="right"/>
      <protection/>
    </xf>
    <xf numFmtId="0" fontId="0" fillId="0" borderId="22" xfId="23" applyFont="1" applyFill="1" applyBorder="1" applyAlignment="1">
      <alignment horizontal="right"/>
      <protection/>
    </xf>
    <xf numFmtId="0" fontId="0" fillId="3" borderId="22" xfId="23" applyFont="1" applyFill="1" applyBorder="1" applyAlignment="1">
      <alignment horizontal="right"/>
      <protection/>
    </xf>
    <xf numFmtId="0" fontId="0" fillId="3" borderId="23" xfId="23" applyFont="1" applyFill="1" applyBorder="1" applyAlignment="1">
      <alignment horizontal="right"/>
      <protection/>
    </xf>
    <xf numFmtId="0" fontId="0" fillId="3" borderId="24" xfId="23" applyFont="1" applyFill="1" applyBorder="1" applyAlignment="1">
      <alignment horizontal="right"/>
      <protection/>
    </xf>
    <xf numFmtId="0" fontId="1" fillId="0" borderId="21" xfId="23" applyFont="1" applyBorder="1">
      <alignment/>
      <protection/>
    </xf>
    <xf numFmtId="49" fontId="6" fillId="0" borderId="33" xfId="23" applyNumberFormat="1" applyFont="1" applyBorder="1" applyAlignment="1">
      <alignment horizontal="center"/>
      <protection/>
    </xf>
    <xf numFmtId="0" fontId="0" fillId="0" borderId="26" xfId="23" applyBorder="1">
      <alignment/>
      <protection/>
    </xf>
    <xf numFmtId="0" fontId="0" fillId="0" borderId="26" xfId="23" applyFont="1" applyFill="1" applyBorder="1" applyAlignment="1">
      <alignment horizontal="right"/>
      <protection/>
    </xf>
    <xf numFmtId="0" fontId="0" fillId="0" borderId="27" xfId="23" applyFont="1" applyFill="1" applyBorder="1" applyAlignment="1">
      <alignment horizontal="right"/>
      <protection/>
    </xf>
    <xf numFmtId="0" fontId="0" fillId="0" borderId="8" xfId="23" applyBorder="1">
      <alignment/>
      <protection/>
    </xf>
    <xf numFmtId="0" fontId="7" fillId="0" borderId="10" xfId="23" applyFont="1" applyBorder="1">
      <alignment/>
      <protection/>
    </xf>
    <xf numFmtId="0" fontId="7" fillId="0" borderId="11" xfId="23" applyFont="1" applyBorder="1">
      <alignment/>
      <protection/>
    </xf>
    <xf numFmtId="0" fontId="7" fillId="3" borderId="11" xfId="23" applyFont="1" applyFill="1" applyBorder="1">
      <alignment/>
      <protection/>
    </xf>
    <xf numFmtId="0" fontId="7" fillId="3" borderId="12" xfId="23" applyFont="1" applyFill="1" applyBorder="1">
      <alignment/>
      <protection/>
    </xf>
    <xf numFmtId="0" fontId="7" fillId="3" borderId="13" xfId="23" applyFont="1" applyFill="1" applyBorder="1">
      <alignment/>
      <protection/>
    </xf>
    <xf numFmtId="16" fontId="0" fillId="0" borderId="0" xfId="23" applyNumberFormat="1" applyFont="1">
      <alignment/>
      <protection/>
    </xf>
    <xf numFmtId="0" fontId="0" fillId="0" borderId="0" xfId="27">
      <alignment/>
      <protection/>
    </xf>
    <xf numFmtId="0" fontId="3" fillId="0" borderId="0" xfId="27" applyFont="1" applyBorder="1" applyAlignment="1">
      <alignment horizontal="left"/>
      <protection/>
    </xf>
    <xf numFmtId="0" fontId="3" fillId="0" borderId="0" xfId="22" applyFont="1" applyAlignment="1">
      <alignment horizontal="center" wrapText="1"/>
      <protection/>
    </xf>
    <xf numFmtId="3" fontId="9" fillId="0" borderId="21" xfId="27" applyNumberFormat="1" applyFont="1" applyBorder="1">
      <alignment/>
      <protection/>
    </xf>
    <xf numFmtId="3" fontId="9" fillId="0" borderId="22" xfId="27" applyNumberFormat="1" applyFont="1" applyBorder="1">
      <alignment/>
      <protection/>
    </xf>
    <xf numFmtId="3" fontId="6" fillId="0" borderId="21" xfId="27" applyNumberFormat="1" applyFont="1" applyBorder="1">
      <alignment/>
      <protection/>
    </xf>
    <xf numFmtId="3" fontId="6" fillId="0" borderId="22" xfId="27" applyNumberFormat="1" applyFont="1" applyBorder="1">
      <alignment/>
      <protection/>
    </xf>
    <xf numFmtId="3" fontId="6" fillId="0" borderId="22" xfId="21" applyNumberFormat="1" applyFont="1" applyBorder="1">
      <alignment/>
      <protection/>
    </xf>
    <xf numFmtId="0" fontId="5" fillId="0" borderId="0" xfId="27" applyFont="1">
      <alignment/>
      <protection/>
    </xf>
    <xf numFmtId="3" fontId="9" fillId="0" borderId="16" xfId="27" applyNumberFormat="1" applyFont="1" applyBorder="1">
      <alignment/>
      <protection/>
    </xf>
    <xf numFmtId="3" fontId="9" fillId="0" borderId="17" xfId="27" applyNumberFormat="1" applyFont="1" applyBorder="1">
      <alignment/>
      <protection/>
    </xf>
    <xf numFmtId="0" fontId="6" fillId="0" borderId="0" xfId="27" applyFont="1">
      <alignment/>
      <protection/>
    </xf>
    <xf numFmtId="3" fontId="6" fillId="0" borderId="0" xfId="27" applyNumberFormat="1" applyFont="1">
      <alignment/>
      <protection/>
    </xf>
    <xf numFmtId="0" fontId="13" fillId="0" borderId="0" xfId="22" applyFont="1" applyAlignment="1">
      <alignment horizontal="center" wrapText="1"/>
      <protection/>
    </xf>
    <xf numFmtId="3" fontId="6" fillId="0" borderId="17" xfId="27" applyNumberFormat="1" applyFont="1" applyBorder="1">
      <alignment/>
      <protection/>
    </xf>
    <xf numFmtId="3" fontId="6" fillId="3" borderId="22" xfId="27" applyNumberFormat="1" applyFont="1" applyFill="1" applyBorder="1">
      <alignment/>
      <protection/>
    </xf>
    <xf numFmtId="0" fontId="0" fillId="0" borderId="0" xfId="27" applyFont="1">
      <alignment/>
      <protection/>
    </xf>
    <xf numFmtId="3" fontId="6" fillId="0" borderId="27" xfId="27" applyNumberFormat="1" applyFont="1" applyBorder="1">
      <alignment/>
      <protection/>
    </xf>
    <xf numFmtId="3" fontId="6" fillId="0" borderId="26" xfId="27" applyNumberFormat="1" applyFont="1" applyBorder="1">
      <alignment/>
      <protection/>
    </xf>
    <xf numFmtId="3" fontId="6" fillId="0" borderId="26" xfId="21" applyNumberFormat="1" applyFont="1" applyBorder="1">
      <alignment/>
      <protection/>
    </xf>
    <xf numFmtId="3" fontId="9" fillId="0" borderId="27" xfId="27" applyNumberFormat="1" applyFont="1" applyBorder="1">
      <alignment/>
      <protection/>
    </xf>
    <xf numFmtId="3" fontId="9" fillId="0" borderId="26" xfId="27" applyNumberFormat="1" applyFont="1" applyBorder="1">
      <alignment/>
      <protection/>
    </xf>
    <xf numFmtId="0" fontId="6" fillId="0" borderId="34" xfId="27" applyFont="1" applyBorder="1">
      <alignment/>
      <protection/>
    </xf>
    <xf numFmtId="3" fontId="6" fillId="0" borderId="35" xfId="27" applyNumberFormat="1" applyFont="1" applyBorder="1">
      <alignment/>
      <protection/>
    </xf>
    <xf numFmtId="0" fontId="0" fillId="0" borderId="0" xfId="28">
      <alignment/>
      <protection/>
    </xf>
    <xf numFmtId="0" fontId="6" fillId="0" borderId="0" xfId="28" applyFont="1">
      <alignment/>
      <protection/>
    </xf>
    <xf numFmtId="0" fontId="6" fillId="0" borderId="22" xfId="28" applyFont="1" applyBorder="1">
      <alignment/>
      <protection/>
    </xf>
    <xf numFmtId="164" fontId="3" fillId="0" borderId="16" xfId="20" applyNumberFormat="1" applyFont="1" applyFill="1" applyBorder="1" applyAlignment="1" applyProtection="1">
      <alignment horizontal="left" vertical="center" wrapText="1"/>
      <protection locked="0"/>
    </xf>
    <xf numFmtId="3" fontId="6" fillId="0" borderId="16" xfId="28" applyNumberFormat="1" applyFont="1" applyBorder="1">
      <alignment/>
      <protection/>
    </xf>
    <xf numFmtId="3" fontId="6" fillId="0" borderId="17" xfId="28" applyNumberFormat="1" applyFont="1" applyBorder="1">
      <alignment/>
      <protection/>
    </xf>
    <xf numFmtId="164" fontId="3" fillId="0" borderId="21" xfId="20" applyNumberFormat="1" applyFont="1" applyFill="1" applyBorder="1" applyAlignment="1" applyProtection="1">
      <alignment horizontal="left" vertical="center" wrapText="1"/>
      <protection locked="0"/>
    </xf>
    <xf numFmtId="3" fontId="6" fillId="0" borderId="21" xfId="28" applyNumberFormat="1" applyFont="1" applyBorder="1">
      <alignment/>
      <protection/>
    </xf>
    <xf numFmtId="3" fontId="6" fillId="0" borderId="22" xfId="28" applyNumberFormat="1" applyFont="1" applyBorder="1">
      <alignment/>
      <protection/>
    </xf>
    <xf numFmtId="0" fontId="3" fillId="0" borderId="21" xfId="28" applyFont="1" applyBorder="1" applyAlignment="1">
      <alignment horizontal="left"/>
      <protection/>
    </xf>
    <xf numFmtId="3" fontId="6" fillId="0" borderId="21" xfId="20" applyNumberFormat="1" applyFont="1" applyBorder="1">
      <alignment/>
      <protection/>
    </xf>
    <xf numFmtId="164" fontId="3" fillId="0" borderId="26" xfId="20" applyNumberFormat="1" applyFont="1" applyFill="1" applyBorder="1" applyAlignment="1" applyProtection="1">
      <alignment horizontal="left" vertical="center" wrapText="1"/>
      <protection locked="0"/>
    </xf>
    <xf numFmtId="3" fontId="6" fillId="0" borderId="26" xfId="28" applyNumberFormat="1" applyFont="1" applyBorder="1">
      <alignment/>
      <protection/>
    </xf>
    <xf numFmtId="3" fontId="6" fillId="0" borderId="27" xfId="28" applyNumberFormat="1" applyFont="1" applyBorder="1">
      <alignment/>
      <protection/>
    </xf>
    <xf numFmtId="3" fontId="9" fillId="0" borderId="16" xfId="28" applyNumberFormat="1" applyFont="1" applyBorder="1">
      <alignment/>
      <protection/>
    </xf>
    <xf numFmtId="3" fontId="9" fillId="0" borderId="17" xfId="28" applyNumberFormat="1" applyFont="1" applyBorder="1">
      <alignment/>
      <protection/>
    </xf>
    <xf numFmtId="3" fontId="9" fillId="0" borderId="21" xfId="28" applyNumberFormat="1" applyFont="1" applyBorder="1">
      <alignment/>
      <protection/>
    </xf>
    <xf numFmtId="3" fontId="9" fillId="0" borderId="22" xfId="28" applyNumberFormat="1" applyFont="1" applyBorder="1">
      <alignment/>
      <protection/>
    </xf>
    <xf numFmtId="0" fontId="6" fillId="0" borderId="21" xfId="28" applyFont="1" applyBorder="1">
      <alignment/>
      <protection/>
    </xf>
    <xf numFmtId="3" fontId="9" fillId="0" borderId="26" xfId="28" applyNumberFormat="1" applyFont="1" applyBorder="1">
      <alignment/>
      <protection/>
    </xf>
    <xf numFmtId="3" fontId="9" fillId="0" borderId="27" xfId="28" applyNumberFormat="1" applyFont="1" applyBorder="1">
      <alignment/>
      <protection/>
    </xf>
    <xf numFmtId="0" fontId="5" fillId="0" borderId="0" xfId="28" applyFont="1">
      <alignment/>
      <protection/>
    </xf>
    <xf numFmtId="0" fontId="0" fillId="0" borderId="0" xfId="20">
      <alignment/>
      <protection/>
    </xf>
    <xf numFmtId="0" fontId="6" fillId="0" borderId="0" xfId="20" applyFont="1">
      <alignment/>
      <protection/>
    </xf>
    <xf numFmtId="164" fontId="3" fillId="0" borderId="34" xfId="20" applyNumberFormat="1" applyFont="1" applyFill="1" applyBorder="1" applyAlignment="1" applyProtection="1">
      <alignment horizontal="left" vertical="center" wrapText="1"/>
      <protection locked="0"/>
    </xf>
    <xf numFmtId="3" fontId="6" fillId="0" borderId="34" xfId="28" applyNumberFormat="1" applyFont="1" applyBorder="1">
      <alignment/>
      <protection/>
    </xf>
    <xf numFmtId="3" fontId="6" fillId="0" borderId="35" xfId="28" applyNumberFormat="1" applyFont="1" applyBorder="1">
      <alignment/>
      <protection/>
    </xf>
    <xf numFmtId="0" fontId="0" fillId="0" borderId="0" xfId="29">
      <alignment/>
      <protection/>
    </xf>
    <xf numFmtId="0" fontId="0" fillId="0" borderId="26" xfId="29" applyBorder="1">
      <alignment/>
      <protection/>
    </xf>
    <xf numFmtId="0" fontId="0" fillId="0" borderId="20" xfId="29" applyFont="1" applyBorder="1" applyAlignment="1">
      <alignment horizontal="center"/>
      <protection/>
    </xf>
    <xf numFmtId="0" fontId="0" fillId="0" borderId="21" xfId="29" applyFont="1" applyBorder="1" applyAlignment="1">
      <alignment horizontal="center"/>
      <protection/>
    </xf>
    <xf numFmtId="0" fontId="1" fillId="0" borderId="21" xfId="19" applyFont="1" applyBorder="1" applyAlignment="1">
      <alignment horizontal="center"/>
      <protection/>
    </xf>
    <xf numFmtId="0" fontId="0" fillId="0" borderId="34" xfId="29" applyBorder="1">
      <alignment/>
      <protection/>
    </xf>
    <xf numFmtId="0" fontId="0" fillId="0" borderId="15" xfId="29" applyBorder="1">
      <alignment/>
      <protection/>
    </xf>
    <xf numFmtId="0" fontId="9" fillId="2" borderId="20" xfId="29" applyFont="1" applyFill="1" applyBorder="1" applyAlignment="1">
      <alignment horizontal="center" vertical="center"/>
      <protection/>
    </xf>
    <xf numFmtId="0" fontId="9" fillId="2" borderId="21" xfId="29" applyFont="1" applyFill="1" applyBorder="1" applyAlignment="1">
      <alignment horizontal="center" vertical="center"/>
      <protection/>
    </xf>
    <xf numFmtId="0" fontId="9" fillId="2" borderId="21" xfId="29" applyFont="1" applyFill="1" applyBorder="1" applyAlignment="1">
      <alignment horizontal="center" vertical="center" wrapText="1"/>
      <protection/>
    </xf>
    <xf numFmtId="0" fontId="9" fillId="2" borderId="22" xfId="29" applyFont="1" applyFill="1" applyBorder="1" applyAlignment="1">
      <alignment horizontal="center" vertical="center" wrapText="1"/>
      <protection/>
    </xf>
    <xf numFmtId="0" fontId="9" fillId="2" borderId="22" xfId="29" applyFont="1" applyFill="1" applyBorder="1" applyAlignment="1">
      <alignment horizontal="center" vertical="center"/>
      <protection/>
    </xf>
    <xf numFmtId="0" fontId="0" fillId="0" borderId="21" xfId="29" applyFont="1" applyBorder="1">
      <alignment/>
      <protection/>
    </xf>
    <xf numFmtId="0" fontId="10" fillId="3" borderId="20" xfId="29" applyFont="1" applyFill="1" applyBorder="1" applyAlignment="1">
      <alignment vertical="top" wrapText="1"/>
      <protection/>
    </xf>
    <xf numFmtId="3" fontId="15" fillId="0" borderId="20" xfId="29" applyNumberFormat="1" applyFont="1" applyBorder="1">
      <alignment/>
      <protection/>
    </xf>
    <xf numFmtId="3" fontId="15" fillId="0" borderId="21" xfId="29" applyNumberFormat="1" applyFont="1" applyBorder="1">
      <alignment/>
      <protection/>
    </xf>
    <xf numFmtId="3" fontId="15" fillId="0" borderId="22" xfId="29" applyNumberFormat="1" applyFont="1" applyBorder="1">
      <alignment/>
      <protection/>
    </xf>
    <xf numFmtId="3" fontId="8" fillId="0" borderId="21" xfId="29" applyNumberFormat="1" applyFont="1" applyBorder="1">
      <alignment/>
      <protection/>
    </xf>
    <xf numFmtId="3" fontId="8" fillId="0" borderId="16" xfId="29" applyNumberFormat="1" applyFont="1" applyBorder="1">
      <alignment/>
      <protection/>
    </xf>
    <xf numFmtId="3" fontId="0" fillId="0" borderId="0" xfId="29" applyNumberFormat="1">
      <alignment/>
      <protection/>
    </xf>
    <xf numFmtId="0" fontId="10" fillId="3" borderId="20" xfId="29" applyFont="1" applyFill="1" applyBorder="1" applyAlignment="1">
      <alignment vertical="center" wrapText="1"/>
      <protection/>
    </xf>
    <xf numFmtId="0" fontId="12" fillId="0" borderId="20" xfId="29" applyFont="1" applyFill="1" applyBorder="1">
      <alignment/>
      <protection/>
    </xf>
    <xf numFmtId="3" fontId="16" fillId="0" borderId="20" xfId="29" applyNumberFormat="1" applyFont="1" applyFill="1" applyBorder="1">
      <alignment/>
      <protection/>
    </xf>
    <xf numFmtId="3" fontId="16" fillId="0" borderId="21" xfId="29" applyNumberFormat="1" applyFont="1" applyFill="1" applyBorder="1">
      <alignment/>
      <protection/>
    </xf>
    <xf numFmtId="3" fontId="16" fillId="0" borderId="22" xfId="29" applyNumberFormat="1" applyFont="1" applyFill="1" applyBorder="1">
      <alignment/>
      <protection/>
    </xf>
    <xf numFmtId="0" fontId="10" fillId="0" borderId="15" xfId="29" applyFont="1" applyFill="1" applyBorder="1">
      <alignment/>
      <protection/>
    </xf>
    <xf numFmtId="3" fontId="15" fillId="0" borderId="15" xfId="29" applyNumberFormat="1" applyFont="1" applyBorder="1">
      <alignment/>
      <protection/>
    </xf>
    <xf numFmtId="3" fontId="15" fillId="0" borderId="16" xfId="29" applyNumberFormat="1" applyFont="1" applyBorder="1">
      <alignment/>
      <protection/>
    </xf>
    <xf numFmtId="3" fontId="15" fillId="0" borderId="17" xfId="29" applyNumberFormat="1" applyFont="1" applyBorder="1">
      <alignment/>
      <protection/>
    </xf>
    <xf numFmtId="0" fontId="10" fillId="0" borderId="25" xfId="29" applyFont="1" applyFill="1" applyBorder="1" applyAlignment="1">
      <alignment vertical="top" wrapText="1"/>
      <protection/>
    </xf>
    <xf numFmtId="3" fontId="15" fillId="0" borderId="25" xfId="29" applyNumberFormat="1" applyFont="1" applyBorder="1">
      <alignment/>
      <protection/>
    </xf>
    <xf numFmtId="3" fontId="15" fillId="0" borderId="26" xfId="29" applyNumberFormat="1" applyFont="1" applyBorder="1">
      <alignment/>
      <protection/>
    </xf>
    <xf numFmtId="3" fontId="15" fillId="0" borderId="27" xfId="29" applyNumberFormat="1" applyFont="1" applyBorder="1">
      <alignment/>
      <protection/>
    </xf>
    <xf numFmtId="3" fontId="8" fillId="0" borderId="26" xfId="29" applyNumberFormat="1" applyFont="1" applyBorder="1">
      <alignment/>
      <protection/>
    </xf>
    <xf numFmtId="0" fontId="12" fillId="0" borderId="20" xfId="29" applyFont="1" applyFill="1" applyBorder="1" applyAlignment="1">
      <alignment vertical="top" wrapText="1"/>
      <protection/>
    </xf>
    <xf numFmtId="3" fontId="16" fillId="0" borderId="20" xfId="29" applyNumberFormat="1" applyFont="1" applyBorder="1">
      <alignment/>
      <protection/>
    </xf>
    <xf numFmtId="3" fontId="16" fillId="0" borderId="21" xfId="29" applyNumberFormat="1" applyFont="1" applyBorder="1">
      <alignment/>
      <protection/>
    </xf>
    <xf numFmtId="3" fontId="16" fillId="0" borderId="22" xfId="29" applyNumberFormat="1" applyFont="1" applyBorder="1">
      <alignment/>
      <protection/>
    </xf>
    <xf numFmtId="3" fontId="15" fillId="0" borderId="36" xfId="29" applyNumberFormat="1" applyFont="1" applyBorder="1">
      <alignment/>
      <protection/>
    </xf>
    <xf numFmtId="3" fontId="15" fillId="0" borderId="34" xfId="29" applyNumberFormat="1" applyFont="1" applyBorder="1">
      <alignment/>
      <protection/>
    </xf>
    <xf numFmtId="3" fontId="15" fillId="0" borderId="35" xfId="29" applyNumberFormat="1" applyFont="1" applyBorder="1">
      <alignment/>
      <protection/>
    </xf>
    <xf numFmtId="3" fontId="8" fillId="0" borderId="34" xfId="29" applyNumberFormat="1" applyFont="1" applyBorder="1">
      <alignment/>
      <protection/>
    </xf>
    <xf numFmtId="0" fontId="9" fillId="2" borderId="25" xfId="29" applyFont="1" applyFill="1" applyBorder="1">
      <alignment/>
      <protection/>
    </xf>
    <xf numFmtId="3" fontId="8" fillId="2" borderId="25" xfId="29" applyNumberFormat="1" applyFont="1" applyFill="1" applyBorder="1">
      <alignment/>
      <protection/>
    </xf>
    <xf numFmtId="3" fontId="8" fillId="2" borderId="26" xfId="29" applyNumberFormat="1" applyFont="1" applyFill="1" applyBorder="1">
      <alignment/>
      <protection/>
    </xf>
    <xf numFmtId="3" fontId="8" fillId="2" borderId="27" xfId="29" applyNumberFormat="1" applyFont="1" applyFill="1" applyBorder="1">
      <alignment/>
      <protection/>
    </xf>
    <xf numFmtId="3" fontId="10" fillId="0" borderId="20" xfId="29" applyNumberFormat="1" applyFont="1" applyFill="1" applyBorder="1" applyAlignment="1">
      <alignment vertical="top" wrapText="1"/>
      <protection/>
    </xf>
    <xf numFmtId="3" fontId="8" fillId="0" borderId="26" xfId="29" applyNumberFormat="1" applyFont="1" applyFill="1" applyBorder="1">
      <alignment/>
      <protection/>
    </xf>
    <xf numFmtId="3" fontId="15" fillId="0" borderId="20" xfId="29" applyNumberFormat="1" applyFont="1" applyFill="1" applyBorder="1">
      <alignment/>
      <protection/>
    </xf>
    <xf numFmtId="0" fontId="9" fillId="2" borderId="20" xfId="29" applyFont="1" applyFill="1" applyBorder="1">
      <alignment/>
      <protection/>
    </xf>
    <xf numFmtId="3" fontId="8" fillId="2" borderId="20" xfId="29" applyNumberFormat="1" applyFont="1" applyFill="1" applyBorder="1">
      <alignment/>
      <protection/>
    </xf>
    <xf numFmtId="3" fontId="8" fillId="2" borderId="21" xfId="29" applyNumberFormat="1" applyFont="1" applyFill="1" applyBorder="1">
      <alignment/>
      <protection/>
    </xf>
    <xf numFmtId="3" fontId="8" fillId="2" borderId="22" xfId="29" applyNumberFormat="1" applyFont="1" applyFill="1" applyBorder="1">
      <alignment/>
      <protection/>
    </xf>
    <xf numFmtId="0" fontId="0" fillId="0" borderId="0" xfId="29" applyFont="1">
      <alignment/>
      <protection/>
    </xf>
    <xf numFmtId="3" fontId="15" fillId="0" borderId="0" xfId="29" applyNumberFormat="1" applyFont="1" applyBorder="1">
      <alignment/>
      <protection/>
    </xf>
    <xf numFmtId="3" fontId="0" fillId="0" borderId="0" xfId="29" applyNumberFormat="1" applyFont="1">
      <alignment/>
      <protection/>
    </xf>
    <xf numFmtId="3" fontId="5" fillId="0" borderId="0" xfId="29" applyNumberFormat="1" applyFont="1">
      <alignment/>
      <protection/>
    </xf>
    <xf numFmtId="0" fontId="8" fillId="0" borderId="0" xfId="18" applyFont="1">
      <alignment/>
      <protection/>
    </xf>
    <xf numFmtId="0" fontId="0" fillId="0" borderId="0" xfId="18" applyFont="1">
      <alignment/>
      <protection/>
    </xf>
    <xf numFmtId="0" fontId="1" fillId="0" borderId="0" xfId="18">
      <alignment/>
      <protection/>
    </xf>
    <xf numFmtId="0" fontId="6" fillId="0" borderId="15" xfId="18" applyFont="1" applyBorder="1">
      <alignment/>
      <protection/>
    </xf>
    <xf numFmtId="3" fontId="0" fillId="0" borderId="16" xfId="18" applyNumberFormat="1" applyFont="1" applyBorder="1">
      <alignment/>
      <protection/>
    </xf>
    <xf numFmtId="0" fontId="6" fillId="0" borderId="20" xfId="18" applyFont="1" applyBorder="1">
      <alignment/>
      <protection/>
    </xf>
    <xf numFmtId="3" fontId="0" fillId="0" borderId="21" xfId="18" applyNumberFormat="1" applyFont="1" applyBorder="1">
      <alignment/>
      <protection/>
    </xf>
    <xf numFmtId="0" fontId="6" fillId="0" borderId="25" xfId="18" applyFont="1" applyBorder="1">
      <alignment/>
      <protection/>
    </xf>
    <xf numFmtId="3" fontId="0" fillId="0" borderId="26" xfId="18" applyNumberFormat="1" applyFont="1" applyBorder="1">
      <alignment/>
      <protection/>
    </xf>
    <xf numFmtId="0" fontId="1" fillId="0" borderId="0" xfId="18" applyFont="1">
      <alignment/>
      <protection/>
    </xf>
    <xf numFmtId="0" fontId="5" fillId="3" borderId="0" xfId="18" applyFont="1" applyFill="1" applyBorder="1">
      <alignment/>
      <protection/>
    </xf>
    <xf numFmtId="3" fontId="5" fillId="3" borderId="0" xfId="18" applyNumberFormat="1" applyFont="1" applyFill="1" applyBorder="1">
      <alignment/>
      <protection/>
    </xf>
    <xf numFmtId="0" fontId="5" fillId="0" borderId="0" xfId="18" applyFont="1">
      <alignment/>
      <protection/>
    </xf>
    <xf numFmtId="3" fontId="1" fillId="0" borderId="0" xfId="18" applyNumberFormat="1">
      <alignment/>
      <protection/>
    </xf>
    <xf numFmtId="3" fontId="17" fillId="0" borderId="0" xfId="18" applyNumberFormat="1" applyFont="1" applyBorder="1">
      <alignment/>
      <protection/>
    </xf>
    <xf numFmtId="0" fontId="0" fillId="0" borderId="0" xfId="25">
      <alignment/>
      <protection/>
    </xf>
    <xf numFmtId="0" fontId="0" fillId="0" borderId="0" xfId="25" applyAlignment="1">
      <alignment horizontal="center" vertical="center" wrapText="1"/>
      <protection/>
    </xf>
    <xf numFmtId="0" fontId="0" fillId="0" borderId="15" xfId="25" applyFont="1" applyBorder="1">
      <alignment/>
      <protection/>
    </xf>
    <xf numFmtId="3" fontId="14" fillId="0" borderId="16" xfId="25" applyNumberFormat="1" applyFont="1" applyBorder="1" applyAlignment="1">
      <alignment horizontal="right"/>
      <protection/>
    </xf>
    <xf numFmtId="3" fontId="0" fillId="0" borderId="16" xfId="25" applyNumberFormat="1" applyFont="1" applyBorder="1">
      <alignment/>
      <protection/>
    </xf>
    <xf numFmtId="3" fontId="0" fillId="0" borderId="16" xfId="25" applyNumberFormat="1" applyFont="1" applyBorder="1" applyAlignment="1">
      <alignment horizontal="right"/>
      <protection/>
    </xf>
    <xf numFmtId="3" fontId="0" fillId="3" borderId="16" xfId="25" applyNumberFormat="1" applyFont="1" applyFill="1" applyBorder="1">
      <alignment/>
      <protection/>
    </xf>
    <xf numFmtId="3" fontId="0" fillId="0" borderId="17" xfId="25" applyNumberFormat="1" applyFont="1" applyBorder="1">
      <alignment/>
      <protection/>
    </xf>
    <xf numFmtId="0" fontId="0" fillId="0" borderId="0" xfId="25" applyFont="1">
      <alignment/>
      <protection/>
    </xf>
    <xf numFmtId="0" fontId="0" fillId="0" borderId="20" xfId="25" applyFont="1" applyBorder="1">
      <alignment/>
      <protection/>
    </xf>
    <xf numFmtId="3" fontId="14" fillId="0" borderId="21" xfId="25" applyNumberFormat="1" applyFont="1" applyBorder="1" applyAlignment="1">
      <alignment horizontal="right"/>
      <protection/>
    </xf>
    <xf numFmtId="3" fontId="0" fillId="0" borderId="21" xfId="25" applyNumberFormat="1" applyFont="1" applyBorder="1">
      <alignment/>
      <protection/>
    </xf>
    <xf numFmtId="3" fontId="0" fillId="0" borderId="22" xfId="25" applyNumberFormat="1" applyFont="1" applyBorder="1">
      <alignment/>
      <protection/>
    </xf>
    <xf numFmtId="3" fontId="14" fillId="0" borderId="21" xfId="25" applyNumberFormat="1" applyFont="1" applyBorder="1" applyAlignment="1">
      <alignment horizontal="right" wrapText="1"/>
      <protection/>
    </xf>
    <xf numFmtId="3" fontId="14" fillId="0" borderId="21" xfId="25" applyNumberFormat="1" applyFont="1" applyBorder="1">
      <alignment/>
      <protection/>
    </xf>
    <xf numFmtId="0" fontId="0" fillId="0" borderId="25" xfId="25" applyFont="1" applyBorder="1">
      <alignment/>
      <protection/>
    </xf>
    <xf numFmtId="3" fontId="14" fillId="0" borderId="26" xfId="25" applyNumberFormat="1" applyFont="1" applyBorder="1">
      <alignment/>
      <protection/>
    </xf>
    <xf numFmtId="3" fontId="0" fillId="0" borderId="26" xfId="25" applyNumberFormat="1" applyFont="1" applyBorder="1">
      <alignment/>
      <protection/>
    </xf>
    <xf numFmtId="3" fontId="0" fillId="0" borderId="34" xfId="25" applyNumberFormat="1" applyFont="1" applyBorder="1">
      <alignment/>
      <protection/>
    </xf>
    <xf numFmtId="3" fontId="0" fillId="0" borderId="27" xfId="25" applyNumberFormat="1" applyFont="1" applyBorder="1">
      <alignment/>
      <protection/>
    </xf>
    <xf numFmtId="0" fontId="18" fillId="2" borderId="20" xfId="25" applyFont="1" applyFill="1" applyBorder="1">
      <alignment/>
      <protection/>
    </xf>
    <xf numFmtId="3" fontId="18" fillId="2" borderId="21" xfId="25" applyNumberFormat="1" applyFont="1" applyFill="1" applyBorder="1">
      <alignment/>
      <protection/>
    </xf>
    <xf numFmtId="0" fontId="18" fillId="3" borderId="20" xfId="25" applyFont="1" applyFill="1" applyBorder="1">
      <alignment/>
      <protection/>
    </xf>
    <xf numFmtId="3" fontId="18" fillId="3" borderId="21" xfId="25" applyNumberFormat="1" applyFont="1" applyFill="1" applyBorder="1">
      <alignment/>
      <protection/>
    </xf>
    <xf numFmtId="3" fontId="18" fillId="3" borderId="22" xfId="25" applyNumberFormat="1" applyFont="1" applyFill="1" applyBorder="1">
      <alignment/>
      <protection/>
    </xf>
    <xf numFmtId="3" fontId="0" fillId="0" borderId="0" xfId="25" applyNumberFormat="1">
      <alignment/>
      <protection/>
    </xf>
    <xf numFmtId="0" fontId="5" fillId="0" borderId="0" xfId="25" applyFont="1" applyAlignment="1">
      <alignment horizontal="center"/>
      <protection/>
    </xf>
    <xf numFmtId="0" fontId="0" fillId="0" borderId="15" xfId="25" applyFont="1" applyBorder="1" applyAlignment="1">
      <alignment horizontal="left"/>
      <protection/>
    </xf>
    <xf numFmtId="3" fontId="0" fillId="0" borderId="16" xfId="25" applyNumberFormat="1" applyBorder="1">
      <alignment/>
      <protection/>
    </xf>
    <xf numFmtId="0" fontId="0" fillId="0" borderId="20" xfId="25" applyFont="1" applyBorder="1" applyAlignment="1">
      <alignment horizontal="left"/>
      <protection/>
    </xf>
    <xf numFmtId="3" fontId="0" fillId="0" borderId="21" xfId="25" applyNumberFormat="1" applyBorder="1">
      <alignment/>
      <protection/>
    </xf>
    <xf numFmtId="0" fontId="0" fillId="0" borderId="25" xfId="25" applyFont="1" applyBorder="1" applyAlignment="1">
      <alignment horizontal="left"/>
      <protection/>
    </xf>
    <xf numFmtId="3" fontId="0" fillId="0" borderId="26" xfId="25" applyNumberFormat="1" applyBorder="1">
      <alignment/>
      <protection/>
    </xf>
    <xf numFmtId="0" fontId="8" fillId="0" borderId="0" xfId="25" applyFont="1" applyAlignment="1">
      <alignment horizontal="center"/>
      <protection/>
    </xf>
    <xf numFmtId="0" fontId="0" fillId="0" borderId="15" xfId="25" applyFont="1" applyBorder="1" applyAlignment="1">
      <alignment vertical="center"/>
      <protection/>
    </xf>
    <xf numFmtId="3" fontId="0" fillId="3" borderId="16" xfId="25" applyNumberFormat="1" applyFill="1" applyBorder="1">
      <alignment/>
      <protection/>
    </xf>
    <xf numFmtId="3" fontId="0" fillId="3" borderId="21" xfId="25" applyNumberFormat="1" applyFill="1" applyBorder="1">
      <alignment/>
      <protection/>
    </xf>
    <xf numFmtId="0" fontId="0" fillId="0" borderId="32" xfId="21" applyFont="1" applyBorder="1">
      <alignment/>
      <protection/>
    </xf>
    <xf numFmtId="0" fontId="0" fillId="0" borderId="33" xfId="21" applyFont="1" applyBorder="1">
      <alignment/>
      <protection/>
    </xf>
    <xf numFmtId="3" fontId="0" fillId="0" borderId="21" xfId="17" applyNumberFormat="1" applyFont="1" applyFill="1" applyBorder="1" applyAlignment="1" applyProtection="1">
      <alignment/>
      <protection/>
    </xf>
    <xf numFmtId="0" fontId="0" fillId="0" borderId="0" xfId="25" applyFill="1" applyBorder="1">
      <alignment/>
      <protection/>
    </xf>
    <xf numFmtId="3" fontId="0" fillId="0" borderId="0" xfId="25" applyNumberFormat="1" applyFont="1" applyBorder="1">
      <alignment/>
      <protection/>
    </xf>
    <xf numFmtId="3" fontId="0" fillId="0" borderId="0" xfId="25" applyNumberFormat="1" applyBorder="1">
      <alignment/>
      <protection/>
    </xf>
    <xf numFmtId="0" fontId="0" fillId="0" borderId="0" xfId="25" applyBorder="1">
      <alignment/>
      <protection/>
    </xf>
    <xf numFmtId="0" fontId="0" fillId="0" borderId="21" xfId="25" applyBorder="1">
      <alignment/>
      <protection/>
    </xf>
    <xf numFmtId="0" fontId="0" fillId="0" borderId="0" xfId="24">
      <alignment/>
      <protection/>
    </xf>
    <xf numFmtId="0" fontId="0" fillId="0" borderId="15" xfId="24" applyFont="1" applyBorder="1">
      <alignment/>
      <protection/>
    </xf>
    <xf numFmtId="3" fontId="0" fillId="0" borderId="16" xfId="24" applyNumberFormat="1" applyFont="1" applyBorder="1">
      <alignment/>
      <protection/>
    </xf>
    <xf numFmtId="3" fontId="0" fillId="0" borderId="0" xfId="24" applyNumberFormat="1">
      <alignment/>
      <protection/>
    </xf>
    <xf numFmtId="0" fontId="0" fillId="0" borderId="20" xfId="24" applyFont="1" applyBorder="1">
      <alignment/>
      <protection/>
    </xf>
    <xf numFmtId="3" fontId="0" fillId="0" borderId="21" xfId="24" applyNumberFormat="1" applyBorder="1">
      <alignment/>
      <protection/>
    </xf>
    <xf numFmtId="3" fontId="0" fillId="0" borderId="21" xfId="24" applyNumberFormat="1" applyFont="1" applyBorder="1">
      <alignment/>
      <protection/>
    </xf>
    <xf numFmtId="3" fontId="8" fillId="3" borderId="0" xfId="24" applyNumberFormat="1" applyFont="1" applyFill="1" applyBorder="1">
      <alignment/>
      <protection/>
    </xf>
    <xf numFmtId="0" fontId="0" fillId="0" borderId="0" xfId="24" applyFont="1">
      <alignment/>
      <protection/>
    </xf>
    <xf numFmtId="3" fontId="15" fillId="3" borderId="0" xfId="24" applyNumberFormat="1" applyFont="1" applyFill="1" applyBorder="1">
      <alignment/>
      <protection/>
    </xf>
    <xf numFmtId="0" fontId="20" fillId="0" borderId="15" xfId="18" applyFont="1" applyBorder="1">
      <alignment/>
      <protection/>
    </xf>
    <xf numFmtId="0" fontId="1" fillId="0" borderId="16" xfId="18" applyBorder="1">
      <alignment/>
      <protection/>
    </xf>
    <xf numFmtId="0" fontId="21" fillId="0" borderId="20" xfId="18" applyFont="1" applyBorder="1">
      <alignment/>
      <protection/>
    </xf>
    <xf numFmtId="3" fontId="1" fillId="0" borderId="21" xfId="18" applyNumberFormat="1" applyBorder="1">
      <alignment/>
      <protection/>
    </xf>
    <xf numFmtId="3" fontId="1" fillId="0" borderId="21" xfId="18" applyNumberFormat="1" applyBorder="1" applyAlignment="1">
      <alignment/>
      <protection/>
    </xf>
    <xf numFmtId="3" fontId="1" fillId="0" borderId="21" xfId="18" applyNumberFormat="1" applyFont="1" applyBorder="1">
      <alignment/>
      <protection/>
    </xf>
    <xf numFmtId="0" fontId="21" fillId="0" borderId="25" xfId="18" applyFont="1" applyBorder="1">
      <alignment/>
      <protection/>
    </xf>
    <xf numFmtId="3" fontId="1" fillId="0" borderId="26" xfId="18" applyNumberFormat="1" applyBorder="1">
      <alignment/>
      <protection/>
    </xf>
    <xf numFmtId="3" fontId="1" fillId="0" borderId="16" xfId="18" applyNumberFormat="1" applyBorder="1">
      <alignment/>
      <protection/>
    </xf>
    <xf numFmtId="0" fontId="11" fillId="0" borderId="37" xfId="27" applyFont="1" applyBorder="1" applyAlignment="1">
      <alignment/>
      <protection/>
    </xf>
    <xf numFmtId="3" fontId="12" fillId="0" borderId="10" xfId="27" applyNumberFormat="1" applyFont="1" applyBorder="1" applyAlignment="1">
      <alignment/>
      <protection/>
    </xf>
    <xf numFmtId="3" fontId="12" fillId="0" borderId="11" xfId="27" applyNumberFormat="1" applyFont="1" applyBorder="1" applyAlignment="1">
      <alignment/>
      <protection/>
    </xf>
    <xf numFmtId="3" fontId="12" fillId="0" borderId="38" xfId="27" applyNumberFormat="1" applyFont="1" applyBorder="1" applyAlignment="1">
      <alignment/>
      <protection/>
    </xf>
    <xf numFmtId="3" fontId="9" fillId="2" borderId="10" xfId="27" applyNumberFormat="1" applyFont="1" applyFill="1" applyBorder="1">
      <alignment/>
      <protection/>
    </xf>
    <xf numFmtId="3" fontId="9" fillId="2" borderId="11" xfId="27" applyNumberFormat="1" applyFont="1" applyFill="1" applyBorder="1">
      <alignment/>
      <protection/>
    </xf>
    <xf numFmtId="3" fontId="9" fillId="2" borderId="38" xfId="27" applyNumberFormat="1" applyFont="1" applyFill="1" applyBorder="1">
      <alignment/>
      <protection/>
    </xf>
    <xf numFmtId="3" fontId="9" fillId="0" borderId="39" xfId="27" applyNumberFormat="1" applyFont="1" applyBorder="1">
      <alignment/>
      <protection/>
    </xf>
    <xf numFmtId="3" fontId="6" fillId="0" borderId="39" xfId="27" applyNumberFormat="1" applyFont="1" applyBorder="1">
      <alignment/>
      <protection/>
    </xf>
    <xf numFmtId="3" fontId="9" fillId="0" borderId="40" xfId="27" applyNumberFormat="1" applyFont="1" applyBorder="1">
      <alignment/>
      <protection/>
    </xf>
    <xf numFmtId="3" fontId="9" fillId="0" borderId="41" xfId="27" applyNumberFormat="1" applyFont="1" applyBorder="1">
      <alignment/>
      <protection/>
    </xf>
    <xf numFmtId="3" fontId="9" fillId="0" borderId="42" xfId="27" applyNumberFormat="1" applyFont="1" applyBorder="1">
      <alignment/>
      <protection/>
    </xf>
    <xf numFmtId="3" fontId="9" fillId="0" borderId="43" xfId="27" applyNumberFormat="1" applyFont="1" applyBorder="1">
      <alignment/>
      <protection/>
    </xf>
    <xf numFmtId="3" fontId="9" fillId="0" borderId="44" xfId="27" applyNumberFormat="1" applyFont="1" applyBorder="1">
      <alignment/>
      <protection/>
    </xf>
    <xf numFmtId="0" fontId="3" fillId="0" borderId="3" xfId="27" applyFont="1" applyBorder="1" applyAlignment="1">
      <alignment horizontal="center"/>
      <protection/>
    </xf>
    <xf numFmtId="0" fontId="3" fillId="0" borderId="4" xfId="27" applyFont="1" applyBorder="1" applyAlignment="1">
      <alignment horizontal="center"/>
      <protection/>
    </xf>
    <xf numFmtId="0" fontId="3" fillId="0" borderId="45" xfId="27" applyFont="1" applyBorder="1" applyAlignment="1">
      <alignment horizontal="center"/>
      <protection/>
    </xf>
    <xf numFmtId="0" fontId="10" fillId="2" borderId="10" xfId="27" applyFont="1" applyFill="1" applyBorder="1" applyAlignment="1">
      <alignment horizontal="center" vertical="top" wrapText="1"/>
      <protection/>
    </xf>
    <xf numFmtId="0" fontId="10" fillId="2" borderId="11" xfId="27" applyFont="1" applyFill="1" applyBorder="1" applyAlignment="1">
      <alignment horizontal="center" vertical="top" wrapText="1"/>
      <protection/>
    </xf>
    <xf numFmtId="0" fontId="10" fillId="2" borderId="38" xfId="27" applyFont="1" applyFill="1" applyBorder="1" applyAlignment="1">
      <alignment horizontal="center" vertical="top" wrapText="1"/>
      <protection/>
    </xf>
    <xf numFmtId="0" fontId="3" fillId="0" borderId="2" xfId="27" applyFont="1" applyBorder="1" applyAlignment="1">
      <alignment horizontal="center"/>
      <protection/>
    </xf>
    <xf numFmtId="0" fontId="9" fillId="2" borderId="46" xfId="27" applyFont="1" applyFill="1" applyBorder="1" applyAlignment="1">
      <alignment horizontal="center"/>
      <protection/>
    </xf>
    <xf numFmtId="0" fontId="10" fillId="0" borderId="47" xfId="27" applyFont="1" applyBorder="1">
      <alignment/>
      <protection/>
    </xf>
    <xf numFmtId="0" fontId="10" fillId="0" borderId="20" xfId="27" applyFont="1" applyBorder="1">
      <alignment/>
      <protection/>
    </xf>
    <xf numFmtId="0" fontId="3" fillId="0" borderId="20" xfId="27" applyFont="1" applyBorder="1">
      <alignment/>
      <protection/>
    </xf>
    <xf numFmtId="0" fontId="10" fillId="0" borderId="25" xfId="27" applyFont="1" applyBorder="1">
      <alignment/>
      <protection/>
    </xf>
    <xf numFmtId="0" fontId="11" fillId="0" borderId="46" xfId="27" applyFont="1" applyBorder="1" applyAlignment="1">
      <alignment/>
      <protection/>
    </xf>
    <xf numFmtId="0" fontId="10" fillId="0" borderId="15" xfId="27" applyFont="1" applyBorder="1">
      <alignment/>
      <protection/>
    </xf>
    <xf numFmtId="0" fontId="10" fillId="2" borderId="46" xfId="27" applyFont="1" applyFill="1" applyBorder="1">
      <alignment/>
      <protection/>
    </xf>
    <xf numFmtId="0" fontId="6" fillId="0" borderId="1" xfId="27" applyFont="1" applyBorder="1">
      <alignment/>
      <protection/>
    </xf>
    <xf numFmtId="0" fontId="6" fillId="0" borderId="7" xfId="27" applyFont="1" applyBorder="1">
      <alignment/>
      <protection/>
    </xf>
    <xf numFmtId="0" fontId="6" fillId="0" borderId="14" xfId="27" applyFont="1" applyBorder="1">
      <alignment/>
      <protection/>
    </xf>
    <xf numFmtId="0" fontId="6" fillId="0" borderId="30" xfId="27" applyFont="1" applyBorder="1">
      <alignment/>
      <protection/>
    </xf>
    <xf numFmtId="3" fontId="6" fillId="0" borderId="34" xfId="27" applyNumberFormat="1" applyFont="1" applyBorder="1">
      <alignment/>
      <protection/>
    </xf>
    <xf numFmtId="3" fontId="9" fillId="0" borderId="10" xfId="27" applyNumberFormat="1" applyFont="1" applyBorder="1">
      <alignment/>
      <protection/>
    </xf>
    <xf numFmtId="3" fontId="9" fillId="0" borderId="11" xfId="27" applyNumberFormat="1" applyFont="1" applyBorder="1">
      <alignment/>
      <protection/>
    </xf>
    <xf numFmtId="3" fontId="9" fillId="0" borderId="38" xfId="27" applyNumberFormat="1" applyFont="1" applyBorder="1">
      <alignment/>
      <protection/>
    </xf>
    <xf numFmtId="3" fontId="6" fillId="0" borderId="41" xfId="27" applyNumberFormat="1" applyFont="1" applyBorder="1">
      <alignment/>
      <protection/>
    </xf>
    <xf numFmtId="3" fontId="6" fillId="3" borderId="39" xfId="27" applyNumberFormat="1" applyFont="1" applyFill="1" applyBorder="1">
      <alignment/>
      <protection/>
    </xf>
    <xf numFmtId="3" fontId="6" fillId="0" borderId="40" xfId="27" applyNumberFormat="1" applyFont="1" applyBorder="1">
      <alignment/>
      <protection/>
    </xf>
    <xf numFmtId="3" fontId="6" fillId="0" borderId="48" xfId="27" applyNumberFormat="1" applyFont="1" applyBorder="1">
      <alignment/>
      <protection/>
    </xf>
    <xf numFmtId="3" fontId="9" fillId="0" borderId="49" xfId="27" applyNumberFormat="1" applyFont="1" applyBorder="1">
      <alignment/>
      <protection/>
    </xf>
    <xf numFmtId="3" fontId="9" fillId="0" borderId="50" xfId="27" applyNumberFormat="1" applyFont="1" applyBorder="1">
      <alignment/>
      <protection/>
    </xf>
    <xf numFmtId="3" fontId="9" fillId="0" borderId="51" xfId="27" applyNumberFormat="1" applyFont="1" applyBorder="1">
      <alignment/>
      <protection/>
    </xf>
    <xf numFmtId="164" fontId="3" fillId="0" borderId="20" xfId="21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25" xfId="27" applyFont="1" applyBorder="1">
      <alignment/>
      <protection/>
    </xf>
    <xf numFmtId="0" fontId="10" fillId="0" borderId="20" xfId="27" applyFont="1" applyBorder="1" applyAlignment="1">
      <alignment vertical="center"/>
      <protection/>
    </xf>
    <xf numFmtId="3" fontId="10" fillId="2" borderId="46" xfId="27" applyNumberFormat="1" applyFont="1" applyFill="1" applyBorder="1">
      <alignment/>
      <protection/>
    </xf>
    <xf numFmtId="0" fontId="0" fillId="0" borderId="36" xfId="27" applyBorder="1">
      <alignment/>
      <protection/>
    </xf>
    <xf numFmtId="164" fontId="10" fillId="0" borderId="46" xfId="21" applyNumberFormat="1" applyFont="1" applyFill="1" applyBorder="1" applyAlignment="1">
      <alignment horizontal="left" wrapText="1" indent="1"/>
      <protection/>
    </xf>
    <xf numFmtId="0" fontId="10" fillId="0" borderId="52" xfId="27" applyFont="1" applyBorder="1" applyAlignment="1">
      <alignment horizontal="left" indent="1"/>
      <protection/>
    </xf>
    <xf numFmtId="0" fontId="6" fillId="0" borderId="53" xfId="27" applyFont="1" applyBorder="1">
      <alignment/>
      <protection/>
    </xf>
    <xf numFmtId="0" fontId="3" fillId="0" borderId="37" xfId="27" applyFont="1" applyBorder="1" applyAlignment="1">
      <alignment horizontal="center"/>
      <protection/>
    </xf>
    <xf numFmtId="0" fontId="3" fillId="0" borderId="10" xfId="27" applyFont="1" applyBorder="1" applyAlignment="1">
      <alignment horizontal="center"/>
      <protection/>
    </xf>
    <xf numFmtId="0" fontId="3" fillId="0" borderId="11" xfId="27" applyFont="1" applyBorder="1" applyAlignment="1">
      <alignment horizontal="center"/>
      <protection/>
    </xf>
    <xf numFmtId="0" fontId="3" fillId="0" borderId="38" xfId="27" applyFont="1" applyBorder="1" applyAlignment="1">
      <alignment horizontal="center"/>
      <protection/>
    </xf>
    <xf numFmtId="0" fontId="9" fillId="0" borderId="27" xfId="27" applyFont="1" applyBorder="1">
      <alignment/>
      <protection/>
    </xf>
    <xf numFmtId="0" fontId="9" fillId="0" borderId="26" xfId="27" applyFont="1" applyBorder="1">
      <alignment/>
      <protection/>
    </xf>
    <xf numFmtId="0" fontId="11" fillId="0" borderId="37" xfId="26" applyFont="1" applyFill="1" applyBorder="1" applyAlignment="1" applyProtection="1">
      <alignment horizontal="left" wrapText="1"/>
      <protection/>
    </xf>
    <xf numFmtId="3" fontId="12" fillId="0" borderId="11" xfId="27" applyNumberFormat="1" applyFont="1" applyFill="1" applyBorder="1">
      <alignment/>
      <protection/>
    </xf>
    <xf numFmtId="3" fontId="12" fillId="0" borderId="10" xfId="27" applyNumberFormat="1" applyFont="1" applyFill="1" applyBorder="1">
      <alignment/>
      <protection/>
    </xf>
    <xf numFmtId="3" fontId="12" fillId="0" borderId="38" xfId="27" applyNumberFormat="1" applyFont="1" applyFill="1" applyBorder="1">
      <alignment/>
      <protection/>
    </xf>
    <xf numFmtId="3" fontId="12" fillId="0" borderId="11" xfId="27" applyNumberFormat="1" applyFont="1" applyBorder="1">
      <alignment/>
      <protection/>
    </xf>
    <xf numFmtId="3" fontId="12" fillId="0" borderId="10" xfId="27" applyNumberFormat="1" applyFont="1" applyBorder="1">
      <alignment/>
      <protection/>
    </xf>
    <xf numFmtId="3" fontId="12" fillId="0" borderId="38" xfId="27" applyNumberFormat="1" applyFont="1" applyBorder="1">
      <alignment/>
      <protection/>
    </xf>
    <xf numFmtId="3" fontId="12" fillId="3" borderId="11" xfId="27" applyNumberFormat="1" applyFont="1" applyFill="1" applyBorder="1">
      <alignment/>
      <protection/>
    </xf>
    <xf numFmtId="3" fontId="12" fillId="3" borderId="38" xfId="27" applyNumberFormat="1" applyFont="1" applyFill="1" applyBorder="1">
      <alignment/>
      <protection/>
    </xf>
    <xf numFmtId="164" fontId="10" fillId="0" borderId="26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26" xfId="28" applyNumberFormat="1" applyFont="1" applyBorder="1" applyAlignment="1">
      <alignment vertical="center"/>
      <protection/>
    </xf>
    <xf numFmtId="3" fontId="9" fillId="0" borderId="27" xfId="28" applyNumberFormat="1" applyFont="1" applyBorder="1" applyAlignment="1">
      <alignment vertical="center"/>
      <protection/>
    </xf>
    <xf numFmtId="3" fontId="9" fillId="2" borderId="10" xfId="28" applyNumberFormat="1" applyFont="1" applyFill="1" applyBorder="1" applyAlignment="1">
      <alignment vertical="center"/>
      <protection/>
    </xf>
    <xf numFmtId="3" fontId="9" fillId="2" borderId="11" xfId="28" applyNumberFormat="1" applyFont="1" applyFill="1" applyBorder="1" applyAlignment="1">
      <alignment vertical="center"/>
      <protection/>
    </xf>
    <xf numFmtId="164" fontId="10" fillId="2" borderId="10" xfId="20" applyNumberFormat="1" applyFont="1" applyFill="1" applyBorder="1" applyAlignment="1">
      <alignment horizontal="left" vertical="center" wrapText="1"/>
      <protection/>
    </xf>
    <xf numFmtId="3" fontId="9" fillId="2" borderId="38" xfId="28" applyNumberFormat="1" applyFont="1" applyFill="1" applyBorder="1" applyAlignment="1">
      <alignment vertical="center"/>
      <protection/>
    </xf>
    <xf numFmtId="164" fontId="10" fillId="0" borderId="37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10" xfId="28" applyNumberFormat="1" applyFont="1" applyBorder="1" applyAlignment="1">
      <alignment vertical="center"/>
      <protection/>
    </xf>
    <xf numFmtId="3" fontId="9" fillId="0" borderId="11" xfId="28" applyNumberFormat="1" applyFont="1" applyBorder="1" applyAlignment="1">
      <alignment vertical="center"/>
      <protection/>
    </xf>
    <xf numFmtId="164" fontId="10" fillId="0" borderId="10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38" xfId="28" applyNumberFormat="1" applyFont="1" applyBorder="1" applyAlignment="1">
      <alignment vertical="center"/>
      <protection/>
    </xf>
    <xf numFmtId="164" fontId="10" fillId="0" borderId="10" xfId="20" applyNumberFormat="1" applyFont="1" applyFill="1" applyBorder="1" applyAlignment="1" applyProtection="1">
      <alignment horizontal="left" vertical="center" wrapText="1"/>
      <protection/>
    </xf>
    <xf numFmtId="0" fontId="5" fillId="2" borderId="37" xfId="28" applyFont="1" applyFill="1" applyBorder="1" applyAlignment="1">
      <alignment horizontal="center"/>
      <protection/>
    </xf>
    <xf numFmtId="0" fontId="10" fillId="2" borderId="10" xfId="28" applyFont="1" applyFill="1" applyBorder="1" applyAlignment="1">
      <alignment horizontal="center" vertical="top" wrapText="1"/>
      <protection/>
    </xf>
    <xf numFmtId="0" fontId="10" fillId="2" borderId="11" xfId="28" applyFont="1" applyFill="1" applyBorder="1" applyAlignment="1">
      <alignment horizontal="center" vertical="top" wrapText="1"/>
      <protection/>
    </xf>
    <xf numFmtId="0" fontId="10" fillId="2" borderId="10" xfId="28" applyFont="1" applyFill="1" applyBorder="1" applyAlignment="1">
      <alignment horizontal="center"/>
      <protection/>
    </xf>
    <xf numFmtId="3" fontId="6" fillId="0" borderId="42" xfId="28" applyNumberFormat="1" applyFont="1" applyBorder="1">
      <alignment/>
      <protection/>
    </xf>
    <xf numFmtId="3" fontId="6" fillId="0" borderId="43" xfId="28" applyNumberFormat="1" applyFont="1" applyBorder="1">
      <alignment/>
      <protection/>
    </xf>
    <xf numFmtId="164" fontId="3" fillId="0" borderId="42" xfId="20" applyNumberFormat="1" applyFont="1" applyFill="1" applyBorder="1" applyAlignment="1" applyProtection="1">
      <alignment horizontal="left" vertical="center" wrapText="1"/>
      <protection locked="0"/>
    </xf>
    <xf numFmtId="3" fontId="6" fillId="0" borderId="44" xfId="28" applyNumberFormat="1" applyFont="1" applyBorder="1">
      <alignment/>
      <protection/>
    </xf>
    <xf numFmtId="164" fontId="3" fillId="0" borderId="54" xfId="20" applyNumberFormat="1" applyFont="1" applyFill="1" applyBorder="1" applyAlignment="1" applyProtection="1">
      <alignment horizontal="left" vertical="center" wrapText="1"/>
      <protection locked="0"/>
    </xf>
    <xf numFmtId="3" fontId="6" fillId="0" borderId="39" xfId="28" applyNumberFormat="1" applyFont="1" applyBorder="1">
      <alignment/>
      <protection/>
    </xf>
    <xf numFmtId="164" fontId="3" fillId="0" borderId="55" xfId="20" applyNumberFormat="1" applyFont="1" applyFill="1" applyBorder="1" applyAlignment="1" applyProtection="1">
      <alignment horizontal="left" vertical="center" wrapText="1"/>
      <protection locked="0"/>
    </xf>
    <xf numFmtId="3" fontId="6" fillId="0" borderId="40" xfId="28" applyNumberFormat="1" applyFont="1" applyBorder="1">
      <alignment/>
      <protection/>
    </xf>
    <xf numFmtId="3" fontId="6" fillId="0" borderId="41" xfId="28" applyNumberFormat="1" applyFont="1" applyBorder="1">
      <alignment/>
      <protection/>
    </xf>
    <xf numFmtId="0" fontId="6" fillId="0" borderId="39" xfId="28" applyFont="1" applyBorder="1">
      <alignment/>
      <protection/>
    </xf>
    <xf numFmtId="3" fontId="9" fillId="0" borderId="39" xfId="28" applyNumberFormat="1" applyFont="1" applyBorder="1">
      <alignment/>
      <protection/>
    </xf>
    <xf numFmtId="3" fontId="9" fillId="0" borderId="40" xfId="28" applyNumberFormat="1" applyFont="1" applyBorder="1">
      <alignment/>
      <protection/>
    </xf>
    <xf numFmtId="0" fontId="5" fillId="2" borderId="46" xfId="28" applyFont="1" applyFill="1" applyBorder="1" applyAlignment="1">
      <alignment horizontal="center"/>
      <protection/>
    </xf>
    <xf numFmtId="164" fontId="3" fillId="0" borderId="47" xfId="20" applyNumberFormat="1" applyFont="1" applyFill="1" applyBorder="1" applyAlignment="1" applyProtection="1">
      <alignment horizontal="left" vertical="center" wrapText="1"/>
      <protection locked="0"/>
    </xf>
    <xf numFmtId="164" fontId="3" fillId="0" borderId="20" xfId="20" applyNumberFormat="1" applyFont="1" applyFill="1" applyBorder="1" applyAlignment="1" applyProtection="1">
      <alignment horizontal="left" vertical="center" wrapText="1"/>
      <protection locked="0"/>
    </xf>
    <xf numFmtId="164" fontId="3" fillId="0" borderId="25" xfId="20" applyNumberFormat="1" applyFont="1" applyFill="1" applyBorder="1" applyAlignment="1" applyProtection="1">
      <alignment horizontal="left" vertical="center" wrapText="1"/>
      <protection locked="0"/>
    </xf>
    <xf numFmtId="164" fontId="10" fillId="0" borderId="46" xfId="20" applyNumberFormat="1" applyFont="1" applyFill="1" applyBorder="1" applyAlignment="1" applyProtection="1">
      <alignment horizontal="left" vertical="center" wrapText="1"/>
      <protection locked="0"/>
    </xf>
    <xf numFmtId="164" fontId="10" fillId="0" borderId="15" xfId="20" applyNumberFormat="1" applyFont="1" applyFill="1" applyBorder="1" applyAlignment="1" applyProtection="1">
      <alignment horizontal="left" vertical="center" wrapText="1"/>
      <protection locked="0"/>
    </xf>
    <xf numFmtId="164" fontId="10" fillId="0" borderId="20" xfId="20" applyNumberFormat="1" applyFont="1" applyFill="1" applyBorder="1" applyAlignment="1" applyProtection="1">
      <alignment horizontal="left" vertical="center" wrapText="1"/>
      <protection locked="0"/>
    </xf>
    <xf numFmtId="164" fontId="10" fillId="2" borderId="46" xfId="20" applyNumberFormat="1" applyFont="1" applyFill="1" applyBorder="1" applyAlignment="1">
      <alignment horizontal="left" vertical="center" wrapText="1"/>
      <protection/>
    </xf>
    <xf numFmtId="0" fontId="6" fillId="0" borderId="1" xfId="28" applyFont="1" applyBorder="1">
      <alignment/>
      <protection/>
    </xf>
    <xf numFmtId="0" fontId="6" fillId="0" borderId="56" xfId="28" applyFont="1" applyBorder="1">
      <alignment/>
      <protection/>
    </xf>
    <xf numFmtId="0" fontId="6" fillId="0" borderId="14" xfId="28" applyFont="1" applyBorder="1">
      <alignment/>
      <protection/>
    </xf>
    <xf numFmtId="0" fontId="6" fillId="0" borderId="30" xfId="28" applyFont="1" applyBorder="1">
      <alignment/>
      <protection/>
    </xf>
    <xf numFmtId="0" fontId="6" fillId="0" borderId="2" xfId="28" applyFont="1" applyBorder="1" applyAlignment="1">
      <alignment horizontal="center"/>
      <protection/>
    </xf>
    <xf numFmtId="0" fontId="6" fillId="0" borderId="3" xfId="28" applyFont="1" applyBorder="1" applyAlignment="1">
      <alignment horizontal="center"/>
      <protection/>
    </xf>
    <xf numFmtId="0" fontId="6" fillId="0" borderId="45" xfId="28" applyFont="1" applyBorder="1" applyAlignment="1">
      <alignment horizontal="center"/>
      <protection/>
    </xf>
    <xf numFmtId="164" fontId="10" fillId="0" borderId="52" xfId="20" applyNumberFormat="1" applyFont="1" applyFill="1" applyBorder="1" applyAlignment="1">
      <alignment horizontal="left" vertical="center" wrapText="1" indent="1"/>
      <protection/>
    </xf>
    <xf numFmtId="3" fontId="9" fillId="0" borderId="49" xfId="28" applyNumberFormat="1" applyFont="1" applyBorder="1" applyAlignment="1">
      <alignment vertical="center"/>
      <protection/>
    </xf>
    <xf numFmtId="3" fontId="9" fillId="0" borderId="50" xfId="28" applyNumberFormat="1" applyFont="1" applyBorder="1" applyAlignment="1">
      <alignment vertical="center"/>
      <protection/>
    </xf>
    <xf numFmtId="164" fontId="10" fillId="0" borderId="49" xfId="20" applyNumberFormat="1" applyFont="1" applyFill="1" applyBorder="1" applyAlignment="1">
      <alignment horizontal="left" vertical="center" wrapText="1" indent="1"/>
      <protection/>
    </xf>
    <xf numFmtId="3" fontId="9" fillId="0" borderId="51" xfId="28" applyNumberFormat="1" applyFont="1" applyBorder="1" applyAlignment="1">
      <alignment vertical="center"/>
      <protection/>
    </xf>
    <xf numFmtId="164" fontId="9" fillId="2" borderId="37" xfId="20" applyNumberFormat="1" applyFont="1" applyFill="1" applyBorder="1" applyAlignment="1">
      <alignment horizontal="left" vertical="center" wrapText="1"/>
      <protection/>
    </xf>
    <xf numFmtId="164" fontId="9" fillId="2" borderId="10" xfId="20" applyNumberFormat="1" applyFont="1" applyFill="1" applyBorder="1" applyAlignment="1">
      <alignment horizontal="left" vertical="center" wrapText="1"/>
      <protection/>
    </xf>
    <xf numFmtId="0" fontId="6" fillId="0" borderId="57" xfId="28" applyFont="1" applyBorder="1" applyAlignment="1">
      <alignment horizontal="center"/>
      <protection/>
    </xf>
    <xf numFmtId="164" fontId="3" fillId="0" borderId="58" xfId="20" applyNumberFormat="1" applyFont="1" applyFill="1" applyBorder="1" applyAlignment="1" applyProtection="1">
      <alignment horizontal="left" vertical="center" wrapText="1"/>
      <protection locked="0"/>
    </xf>
    <xf numFmtId="0" fontId="3" fillId="0" borderId="54" xfId="28" applyFont="1" applyBorder="1" applyAlignment="1">
      <alignment horizontal="left"/>
      <protection/>
    </xf>
    <xf numFmtId="164" fontId="3" fillId="0" borderId="59" xfId="20" applyNumberFormat="1" applyFont="1" applyFill="1" applyBorder="1" applyAlignment="1" applyProtection="1">
      <alignment horizontal="left" vertical="center" wrapText="1"/>
      <protection locked="0"/>
    </xf>
    <xf numFmtId="3" fontId="6" fillId="0" borderId="48" xfId="28" applyNumberFormat="1" applyFont="1" applyBorder="1">
      <alignment/>
      <protection/>
    </xf>
    <xf numFmtId="164" fontId="10" fillId="0" borderId="59" xfId="20" applyNumberFormat="1" applyFont="1" applyFill="1" applyBorder="1" applyAlignment="1" applyProtection="1">
      <alignment horizontal="left" vertical="center" wrapText="1"/>
      <protection locked="0"/>
    </xf>
    <xf numFmtId="164" fontId="10" fillId="0" borderId="55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40" xfId="28" applyNumberFormat="1" applyFont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left" vertical="center" wrapText="1"/>
      <protection/>
    </xf>
    <xf numFmtId="164" fontId="10" fillId="0" borderId="49" xfId="20" applyNumberFormat="1" applyFont="1" applyFill="1" applyBorder="1" applyAlignment="1">
      <alignment horizontal="left" vertical="center" wrapText="1"/>
      <protection/>
    </xf>
    <xf numFmtId="0" fontId="0" fillId="0" borderId="1" xfId="20" applyBorder="1">
      <alignment/>
      <protection/>
    </xf>
    <xf numFmtId="0" fontId="0" fillId="0" borderId="56" xfId="20" applyBorder="1">
      <alignment/>
      <protection/>
    </xf>
    <xf numFmtId="0" fontId="0" fillId="0" borderId="14" xfId="20" applyFont="1" applyBorder="1">
      <alignment/>
      <protection/>
    </xf>
    <xf numFmtId="0" fontId="0" fillId="0" borderId="30" xfId="20" applyFont="1" applyBorder="1">
      <alignment/>
      <protection/>
    </xf>
    <xf numFmtId="3" fontId="5" fillId="2" borderId="10" xfId="18" applyNumberFormat="1" applyFont="1" applyFill="1" applyBorder="1">
      <alignment/>
      <protection/>
    </xf>
    <xf numFmtId="3" fontId="5" fillId="2" borderId="38" xfId="18" applyNumberFormat="1" applyFont="1" applyFill="1" applyBorder="1">
      <alignment/>
      <protection/>
    </xf>
    <xf numFmtId="0" fontId="9" fillId="0" borderId="10" xfId="18" applyFont="1" applyBorder="1" applyAlignment="1">
      <alignment horizontal="center" vertical="center" wrapText="1"/>
      <protection/>
    </xf>
    <xf numFmtId="0" fontId="9" fillId="0" borderId="38" xfId="18" applyFont="1" applyBorder="1" applyAlignment="1">
      <alignment horizontal="center" vertical="center" wrapText="1"/>
      <protection/>
    </xf>
    <xf numFmtId="0" fontId="0" fillId="0" borderId="2" xfId="18" applyFont="1" applyBorder="1" applyAlignment="1">
      <alignment horizontal="center"/>
      <protection/>
    </xf>
    <xf numFmtId="0" fontId="0" fillId="0" borderId="3" xfId="18" applyFont="1" applyBorder="1" applyAlignment="1">
      <alignment horizontal="center"/>
      <protection/>
    </xf>
    <xf numFmtId="0" fontId="0" fillId="0" borderId="45" xfId="18" applyFont="1" applyBorder="1" applyAlignment="1">
      <alignment horizontal="center"/>
      <protection/>
    </xf>
    <xf numFmtId="3" fontId="0" fillId="0" borderId="41" xfId="18" applyNumberFormat="1" applyFont="1" applyBorder="1">
      <alignment/>
      <protection/>
    </xf>
    <xf numFmtId="3" fontId="0" fillId="0" borderId="39" xfId="18" applyNumberFormat="1" applyFont="1" applyBorder="1">
      <alignment/>
      <protection/>
    </xf>
    <xf numFmtId="3" fontId="0" fillId="0" borderId="40" xfId="18" applyNumberFormat="1" applyFont="1" applyBorder="1">
      <alignment/>
      <protection/>
    </xf>
    <xf numFmtId="0" fontId="9" fillId="0" borderId="46" xfId="18" applyFont="1" applyBorder="1" applyAlignment="1">
      <alignment horizontal="center" vertical="center"/>
      <protection/>
    </xf>
    <xf numFmtId="0" fontId="5" fillId="2" borderId="46" xfId="18" applyFont="1" applyFill="1" applyBorder="1">
      <alignment/>
      <protection/>
    </xf>
    <xf numFmtId="0" fontId="1" fillId="0" borderId="1" xfId="18" applyBorder="1">
      <alignment/>
      <protection/>
    </xf>
    <xf numFmtId="0" fontId="1" fillId="0" borderId="7" xfId="18" applyBorder="1">
      <alignment/>
      <protection/>
    </xf>
    <xf numFmtId="0" fontId="1" fillId="0" borderId="14" xfId="18" applyFont="1" applyBorder="1">
      <alignment/>
      <protection/>
    </xf>
    <xf numFmtId="0" fontId="1" fillId="0" borderId="30" xfId="18" applyFont="1" applyBorder="1">
      <alignment/>
      <protection/>
    </xf>
    <xf numFmtId="3" fontId="8" fillId="2" borderId="38" xfId="25" applyNumberFormat="1" applyFont="1" applyFill="1" applyBorder="1">
      <alignment/>
      <protection/>
    </xf>
    <xf numFmtId="0" fontId="5" fillId="2" borderId="38" xfId="25" applyFont="1" applyFill="1" applyBorder="1" applyAlignment="1">
      <alignment horizontal="center"/>
      <protection/>
    </xf>
    <xf numFmtId="0" fontId="5" fillId="2" borderId="46" xfId="25" applyFont="1" applyFill="1" applyBorder="1" applyAlignment="1">
      <alignment horizontal="center"/>
      <protection/>
    </xf>
    <xf numFmtId="0" fontId="8" fillId="2" borderId="46" xfId="25" applyFont="1" applyFill="1" applyBorder="1">
      <alignment/>
      <protection/>
    </xf>
    <xf numFmtId="0" fontId="0" fillId="0" borderId="1" xfId="25" applyBorder="1">
      <alignment/>
      <protection/>
    </xf>
    <xf numFmtId="0" fontId="0" fillId="0" borderId="7" xfId="25" applyBorder="1">
      <alignment/>
      <protection/>
    </xf>
    <xf numFmtId="0" fontId="0" fillId="0" borderId="14" xfId="25" applyFont="1" applyBorder="1">
      <alignment/>
      <protection/>
    </xf>
    <xf numFmtId="0" fontId="0" fillId="0" borderId="30" xfId="25" applyFont="1" applyBorder="1">
      <alignment/>
      <protection/>
    </xf>
    <xf numFmtId="0" fontId="0" fillId="0" borderId="2" xfId="25" applyFont="1" applyBorder="1" applyAlignment="1">
      <alignment horizontal="center"/>
      <protection/>
    </xf>
    <xf numFmtId="0" fontId="0" fillId="0" borderId="45" xfId="25" applyFont="1" applyBorder="1" applyAlignment="1">
      <alignment horizontal="center"/>
      <protection/>
    </xf>
    <xf numFmtId="3" fontId="0" fillId="0" borderId="41" xfId="25" applyNumberFormat="1" applyBorder="1">
      <alignment/>
      <protection/>
    </xf>
    <xf numFmtId="3" fontId="0" fillId="0" borderId="39" xfId="25" applyNumberFormat="1" applyBorder="1">
      <alignment/>
      <protection/>
    </xf>
    <xf numFmtId="3" fontId="0" fillId="0" borderId="40" xfId="25" applyNumberFormat="1" applyBorder="1">
      <alignment/>
      <protection/>
    </xf>
    <xf numFmtId="3" fontId="14" fillId="0" borderId="26" xfId="25" applyNumberFormat="1" applyFont="1" applyBorder="1" applyAlignment="1">
      <alignment horizontal="right"/>
      <protection/>
    </xf>
    <xf numFmtId="3" fontId="18" fillId="3" borderId="26" xfId="25" applyNumberFormat="1" applyFont="1" applyFill="1" applyBorder="1">
      <alignment/>
      <protection/>
    </xf>
    <xf numFmtId="3" fontId="8" fillId="2" borderId="10" xfId="25" applyNumberFormat="1" applyFont="1" applyFill="1" applyBorder="1">
      <alignment/>
      <protection/>
    </xf>
    <xf numFmtId="0" fontId="10" fillId="0" borderId="37" xfId="25" applyFont="1" applyBorder="1" applyAlignment="1">
      <alignment horizontal="center" vertical="center" wrapText="1"/>
      <protection/>
    </xf>
    <xf numFmtId="0" fontId="10" fillId="0" borderId="10" xfId="25" applyFont="1" applyBorder="1" applyAlignment="1">
      <alignment horizontal="center" vertical="center" wrapText="1"/>
      <protection/>
    </xf>
    <xf numFmtId="0" fontId="10" fillId="0" borderId="38" xfId="25" applyFont="1" applyBorder="1" applyAlignment="1">
      <alignment horizontal="center" vertical="center" wrapText="1"/>
      <protection/>
    </xf>
    <xf numFmtId="0" fontId="0" fillId="0" borderId="3" xfId="25" applyFont="1" applyBorder="1" applyAlignment="1">
      <alignment horizontal="center"/>
      <protection/>
    </xf>
    <xf numFmtId="3" fontId="0" fillId="0" borderId="41" xfId="25" applyNumberFormat="1" applyFont="1" applyBorder="1">
      <alignment/>
      <protection/>
    </xf>
    <xf numFmtId="3" fontId="0" fillId="0" borderId="39" xfId="25" applyNumberFormat="1" applyFont="1" applyBorder="1">
      <alignment/>
      <protection/>
    </xf>
    <xf numFmtId="3" fontId="0" fillId="0" borderId="40" xfId="25" applyNumberFormat="1" applyFont="1" applyBorder="1">
      <alignment/>
      <protection/>
    </xf>
    <xf numFmtId="3" fontId="18" fillId="2" borderId="39" xfId="25" applyNumberFormat="1" applyFont="1" applyFill="1" applyBorder="1">
      <alignment/>
      <protection/>
    </xf>
    <xf numFmtId="3" fontId="18" fillId="3" borderId="39" xfId="25" applyNumberFormat="1" applyFont="1" applyFill="1" applyBorder="1">
      <alignment/>
      <protection/>
    </xf>
    <xf numFmtId="3" fontId="0" fillId="3" borderId="40" xfId="25" applyNumberFormat="1" applyFont="1" applyFill="1" applyBorder="1">
      <alignment/>
      <protection/>
    </xf>
    <xf numFmtId="0" fontId="10" fillId="0" borderId="46" xfId="25" applyFont="1" applyBorder="1" applyAlignment="1">
      <alignment horizontal="center" vertical="center" wrapText="1"/>
      <protection/>
    </xf>
    <xf numFmtId="0" fontId="0" fillId="0" borderId="7" xfId="25" applyBorder="1" applyAlignment="1">
      <alignment horizontal="center" vertical="center" wrapText="1"/>
      <protection/>
    </xf>
    <xf numFmtId="3" fontId="0" fillId="0" borderId="26" xfId="17" applyNumberFormat="1" applyFont="1" applyFill="1" applyBorder="1" applyAlignment="1" applyProtection="1">
      <alignment/>
      <protection/>
    </xf>
    <xf numFmtId="3" fontId="5" fillId="2" borderId="10" xfId="25" applyNumberFormat="1" applyFont="1" applyFill="1" applyBorder="1">
      <alignment/>
      <protection/>
    </xf>
    <xf numFmtId="3" fontId="5" fillId="2" borderId="38" xfId="25" applyNumberFormat="1" applyFont="1" applyFill="1" applyBorder="1">
      <alignment/>
      <protection/>
    </xf>
    <xf numFmtId="0" fontId="8" fillId="2" borderId="46" xfId="25" applyFont="1" applyFill="1" applyBorder="1" applyAlignment="1">
      <alignment vertical="center"/>
      <protection/>
    </xf>
    <xf numFmtId="0" fontId="19" fillId="0" borderId="10" xfId="25" applyFont="1" applyBorder="1" applyAlignment="1">
      <alignment horizontal="center" vertical="center"/>
      <protection/>
    </xf>
    <xf numFmtId="0" fontId="19" fillId="0" borderId="10" xfId="25" applyFont="1" applyBorder="1" applyAlignment="1">
      <alignment horizontal="center" vertical="center" wrapText="1"/>
      <protection/>
    </xf>
    <xf numFmtId="0" fontId="19" fillId="0" borderId="38" xfId="25" applyFont="1" applyBorder="1" applyAlignment="1">
      <alignment horizontal="center" vertical="center" wrapText="1"/>
      <protection/>
    </xf>
    <xf numFmtId="3" fontId="0" fillId="3" borderId="41" xfId="25" applyNumberFormat="1" applyFill="1" applyBorder="1">
      <alignment/>
      <protection/>
    </xf>
    <xf numFmtId="3" fontId="0" fillId="3" borderId="39" xfId="25" applyNumberFormat="1" applyFill="1" applyBorder="1">
      <alignment/>
      <protection/>
    </xf>
    <xf numFmtId="3" fontId="0" fillId="0" borderId="39" xfId="17" applyNumberFormat="1" applyFont="1" applyFill="1" applyBorder="1" applyAlignment="1" applyProtection="1">
      <alignment/>
      <protection/>
    </xf>
    <xf numFmtId="3" fontId="0" fillId="0" borderId="40" xfId="17" applyNumberFormat="1" applyFont="1" applyFill="1" applyBorder="1" applyAlignment="1" applyProtection="1">
      <alignment/>
      <protection/>
    </xf>
    <xf numFmtId="3" fontId="5" fillId="2" borderId="10" xfId="25" applyNumberFormat="1" applyFont="1" applyFill="1" applyBorder="1" applyAlignment="1">
      <alignment horizontal="right" vertical="center"/>
      <protection/>
    </xf>
    <xf numFmtId="3" fontId="5" fillId="2" borderId="38" xfId="25" applyNumberFormat="1" applyFont="1" applyFill="1" applyBorder="1" applyAlignment="1">
      <alignment horizontal="right" vertical="center"/>
      <protection/>
    </xf>
    <xf numFmtId="0" fontId="8" fillId="2" borderId="46" xfId="25" applyFont="1" applyFill="1" applyBorder="1" applyAlignment="1">
      <alignment horizontal="left" vertical="center"/>
      <protection/>
    </xf>
    <xf numFmtId="0" fontId="0" fillId="0" borderId="25" xfId="24" applyFont="1" applyBorder="1">
      <alignment/>
      <protection/>
    </xf>
    <xf numFmtId="3" fontId="0" fillId="0" borderId="26" xfId="24" applyNumberFormat="1" applyBorder="1">
      <alignment/>
      <protection/>
    </xf>
    <xf numFmtId="3" fontId="8" fillId="2" borderId="10" xfId="24" applyNumberFormat="1" applyFont="1" applyFill="1" applyBorder="1">
      <alignment/>
      <protection/>
    </xf>
    <xf numFmtId="3" fontId="8" fillId="2" borderId="38" xfId="24" applyNumberFormat="1" applyFont="1" applyFill="1" applyBorder="1">
      <alignment/>
      <protection/>
    </xf>
    <xf numFmtId="0" fontId="4" fillId="2" borderId="46" xfId="24" applyFont="1" applyFill="1" applyBorder="1" applyAlignment="1">
      <alignment horizontal="center"/>
      <protection/>
    </xf>
    <xf numFmtId="0" fontId="0" fillId="0" borderId="1" xfId="24" applyBorder="1">
      <alignment/>
      <protection/>
    </xf>
    <xf numFmtId="0" fontId="0" fillId="0" borderId="7" xfId="24" applyBorder="1">
      <alignment/>
      <protection/>
    </xf>
    <xf numFmtId="0" fontId="0" fillId="0" borderId="14" xfId="24" applyFont="1" applyBorder="1">
      <alignment/>
      <protection/>
    </xf>
    <xf numFmtId="0" fontId="0" fillId="0" borderId="30" xfId="24" applyFont="1" applyBorder="1">
      <alignment/>
      <protection/>
    </xf>
    <xf numFmtId="0" fontId="9" fillId="0" borderId="37" xfId="24" applyFont="1" applyBorder="1" applyAlignment="1">
      <alignment horizontal="center"/>
      <protection/>
    </xf>
    <xf numFmtId="0" fontId="9" fillId="0" borderId="10" xfId="24" applyFont="1" applyBorder="1" applyAlignment="1">
      <alignment horizontal="center"/>
      <protection/>
    </xf>
    <xf numFmtId="0" fontId="9" fillId="0" borderId="38" xfId="24" applyFont="1" applyBorder="1" applyAlignment="1">
      <alignment horizontal="center"/>
      <protection/>
    </xf>
    <xf numFmtId="0" fontId="0" fillId="0" borderId="2" xfId="24" applyFont="1" applyBorder="1" applyAlignment="1">
      <alignment horizontal="center"/>
      <protection/>
    </xf>
    <xf numFmtId="0" fontId="0" fillId="0" borderId="3" xfId="24" applyFont="1" applyBorder="1" applyAlignment="1">
      <alignment horizontal="center"/>
      <protection/>
    </xf>
    <xf numFmtId="0" fontId="0" fillId="0" borderId="45" xfId="24" applyFont="1" applyBorder="1" applyAlignment="1">
      <alignment horizontal="center"/>
      <protection/>
    </xf>
    <xf numFmtId="3" fontId="0" fillId="0" borderId="41" xfId="24" applyNumberFormat="1" applyBorder="1">
      <alignment/>
      <protection/>
    </xf>
    <xf numFmtId="3" fontId="0" fillId="0" borderId="39" xfId="24" applyNumberFormat="1" applyBorder="1">
      <alignment/>
      <protection/>
    </xf>
    <xf numFmtId="3" fontId="0" fillId="0" borderId="40" xfId="24" applyNumberFormat="1" applyBorder="1">
      <alignment/>
      <protection/>
    </xf>
    <xf numFmtId="3" fontId="23" fillId="0" borderId="10" xfId="18" applyNumberFormat="1" applyFont="1" applyBorder="1">
      <alignment/>
      <protection/>
    </xf>
    <xf numFmtId="3" fontId="23" fillId="0" borderId="38" xfId="18" applyNumberFormat="1" applyFont="1" applyBorder="1">
      <alignment/>
      <protection/>
    </xf>
    <xf numFmtId="0" fontId="22" fillId="0" borderId="46" xfId="18" applyFont="1" applyBorder="1">
      <alignment/>
      <protection/>
    </xf>
    <xf numFmtId="0" fontId="17" fillId="0" borderId="7" xfId="18" applyFont="1" applyBorder="1" applyAlignment="1">
      <alignment horizontal="center" vertical="center" wrapText="1"/>
      <protection/>
    </xf>
    <xf numFmtId="0" fontId="1" fillId="0" borderId="14" xfId="18" applyFont="1" applyBorder="1" applyAlignment="1">
      <alignment horizontal="center"/>
      <protection/>
    </xf>
    <xf numFmtId="0" fontId="1" fillId="0" borderId="30" xfId="18" applyFont="1" applyBorder="1" applyAlignment="1">
      <alignment horizontal="center"/>
      <protection/>
    </xf>
    <xf numFmtId="0" fontId="17" fillId="0" borderId="37" xfId="18" applyFont="1" applyBorder="1" applyAlignment="1">
      <alignment horizontal="center" vertical="center"/>
      <protection/>
    </xf>
    <xf numFmtId="0" fontId="17" fillId="0" borderId="10" xfId="18" applyFont="1" applyBorder="1" applyAlignment="1">
      <alignment horizontal="center" vertical="center"/>
      <protection/>
    </xf>
    <xf numFmtId="0" fontId="17" fillId="0" borderId="38" xfId="18" applyFont="1" applyBorder="1" applyAlignment="1">
      <alignment horizontal="center" vertical="center"/>
      <protection/>
    </xf>
    <xf numFmtId="0" fontId="1" fillId="0" borderId="2" xfId="18" applyFont="1" applyBorder="1" applyAlignment="1">
      <alignment horizontal="center"/>
      <protection/>
    </xf>
    <xf numFmtId="0" fontId="1" fillId="0" borderId="3" xfId="18" applyFont="1" applyBorder="1" applyAlignment="1">
      <alignment horizontal="center"/>
      <protection/>
    </xf>
    <xf numFmtId="0" fontId="1" fillId="0" borderId="45" xfId="18" applyFont="1" applyBorder="1" applyAlignment="1">
      <alignment horizontal="center"/>
      <protection/>
    </xf>
    <xf numFmtId="0" fontId="1" fillId="0" borderId="41" xfId="18" applyBorder="1">
      <alignment/>
      <protection/>
    </xf>
    <xf numFmtId="3" fontId="1" fillId="0" borderId="39" xfId="18" applyNumberFormat="1" applyBorder="1">
      <alignment/>
      <protection/>
    </xf>
    <xf numFmtId="3" fontId="1" fillId="0" borderId="40" xfId="18" applyNumberFormat="1" applyBorder="1">
      <alignment/>
      <protection/>
    </xf>
    <xf numFmtId="3" fontId="1" fillId="0" borderId="41" xfId="18" applyNumberFormat="1" applyBorder="1">
      <alignment/>
      <protection/>
    </xf>
    <xf numFmtId="0" fontId="8" fillId="0" borderId="0" xfId="27" applyFont="1" applyBorder="1" applyAlignment="1">
      <alignment horizontal="center"/>
      <protection/>
    </xf>
    <xf numFmtId="0" fontId="13" fillId="0" borderId="0" xfId="22" applyFont="1" applyBorder="1" applyAlignment="1">
      <alignment horizontal="center" wrapText="1"/>
      <protection/>
    </xf>
    <xf numFmtId="0" fontId="14" fillId="0" borderId="0" xfId="29" applyFont="1" applyBorder="1" applyAlignment="1">
      <alignment horizontal="right"/>
      <protection/>
    </xf>
    <xf numFmtId="0" fontId="4" fillId="0" borderId="16" xfId="29" applyFont="1" applyBorder="1" applyAlignment="1">
      <alignment horizontal="center"/>
      <protection/>
    </xf>
    <xf numFmtId="0" fontId="4" fillId="0" borderId="22" xfId="29" applyFont="1" applyBorder="1" applyAlignment="1">
      <alignment horizontal="center"/>
      <protection/>
    </xf>
    <xf numFmtId="0" fontId="4" fillId="0" borderId="32" xfId="29" applyFont="1" applyBorder="1" applyAlignment="1">
      <alignment horizontal="center"/>
      <protection/>
    </xf>
    <xf numFmtId="0" fontId="4" fillId="0" borderId="20" xfId="29" applyFont="1" applyBorder="1" applyAlignment="1">
      <alignment horizontal="center"/>
      <protection/>
    </xf>
    <xf numFmtId="0" fontId="14" fillId="0" borderId="0" xfId="25" applyFont="1" applyBorder="1" applyAlignment="1">
      <alignment horizontal="right"/>
      <protection/>
    </xf>
    <xf numFmtId="0" fontId="5" fillId="0" borderId="0" xfId="25" applyFont="1" applyBorder="1" applyAlignment="1">
      <alignment horizontal="center"/>
      <protection/>
    </xf>
    <xf numFmtId="0" fontId="14" fillId="0" borderId="0" xfId="25" applyFont="1" applyBorder="1" applyAlignment="1">
      <alignment horizontal="left"/>
      <protection/>
    </xf>
    <xf numFmtId="0" fontId="4" fillId="0" borderId="0" xfId="23" applyFont="1" applyBorder="1" applyAlignment="1">
      <alignment horizontal="center" wrapText="1"/>
      <protection/>
    </xf>
    <xf numFmtId="0" fontId="8" fillId="0" borderId="0" xfId="25" applyFont="1" applyBorder="1" applyAlignment="1">
      <alignment horizontal="center"/>
      <protection/>
    </xf>
    <xf numFmtId="0" fontId="14" fillId="0" borderId="0" xfId="25" applyFont="1" applyBorder="1" applyAlignment="1">
      <alignment horizontal="center"/>
      <protection/>
    </xf>
  </cellXfs>
  <cellStyles count="19">
    <cellStyle name="Normal" xfId="0"/>
    <cellStyle name="Comma" xfId="15"/>
    <cellStyle name="Comma [0]" xfId="16"/>
    <cellStyle name="Ezres_2011.V.módosítás" xfId="17"/>
    <cellStyle name="Normál_07.I. módosítás" xfId="18"/>
    <cellStyle name="Normál_2010.I. módosítás" xfId="19"/>
    <cellStyle name="Normál_2011.I.félévi beszámoló" xfId="20"/>
    <cellStyle name="Normál_2011.V.módosítás" xfId="21"/>
    <cellStyle name="Normál_címrend1" xfId="22"/>
    <cellStyle name="Normál_címrend2" xfId="23"/>
    <cellStyle name="Normál_finanszír." xfId="24"/>
    <cellStyle name="Normál_Köttsv.2004" xfId="25"/>
    <cellStyle name="Normál_KVRENMUNKA" xfId="26"/>
    <cellStyle name="Normál_mérleg" xfId="27"/>
    <cellStyle name="Normál_mérleg_2011.I.félévi beszámoló" xfId="28"/>
    <cellStyle name="Normál_Vált.2003-04" xfId="29"/>
    <cellStyle name="Currency" xfId="30"/>
    <cellStyle name="Currency [0]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workbookViewId="0" topLeftCell="A1">
      <pane xSplit="2" ySplit="4" topLeftCell="C35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G75" sqref="G75:G77"/>
    </sheetView>
  </sheetViews>
  <sheetFormatPr defaultColWidth="9.00390625" defaultRowHeight="12.75"/>
  <cols>
    <col min="1" max="1" width="3.875" style="88" customWidth="1"/>
    <col min="2" max="2" width="46.625" style="88" customWidth="1"/>
    <col min="3" max="4" width="10.75390625" style="88" customWidth="1"/>
    <col min="5" max="5" width="10.00390625" style="88" customWidth="1"/>
    <col min="6" max="6" width="10.375" style="88" customWidth="1"/>
    <col min="7" max="7" width="11.125" style="88" customWidth="1"/>
    <col min="8" max="9" width="10.75390625" style="88" customWidth="1"/>
    <col min="10" max="16384" width="9.125" style="88" customWidth="1"/>
  </cols>
  <sheetData>
    <row r="1" spans="1:5" ht="15">
      <c r="A1" s="499" t="s">
        <v>86</v>
      </c>
      <c r="B1" s="499"/>
      <c r="C1" s="499"/>
      <c r="D1" s="499"/>
      <c r="E1" s="499"/>
    </row>
    <row r="2" spans="4:5" ht="12.75" customHeight="1" thickBot="1">
      <c r="D2" s="89" t="s">
        <v>87</v>
      </c>
      <c r="E2" s="90"/>
    </row>
    <row r="3" spans="1:7" ht="12" customHeight="1" thickBot="1">
      <c r="A3" s="304"/>
      <c r="B3" s="295" t="s">
        <v>2</v>
      </c>
      <c r="C3" s="289" t="s">
        <v>88</v>
      </c>
      <c r="D3" s="289" t="s">
        <v>4</v>
      </c>
      <c r="E3" s="290" t="s">
        <v>5</v>
      </c>
      <c r="F3" s="290" t="s">
        <v>6</v>
      </c>
      <c r="G3" s="291" t="s">
        <v>7</v>
      </c>
    </row>
    <row r="4" spans="1:7" ht="21" customHeight="1" thickBot="1">
      <c r="A4" s="305"/>
      <c r="B4" s="296" t="s">
        <v>89</v>
      </c>
      <c r="C4" s="292" t="s">
        <v>90</v>
      </c>
      <c r="D4" s="293" t="s">
        <v>91</v>
      </c>
      <c r="E4" s="292" t="s">
        <v>92</v>
      </c>
      <c r="F4" s="293" t="s">
        <v>93</v>
      </c>
      <c r="G4" s="294" t="s">
        <v>94</v>
      </c>
    </row>
    <row r="5" spans="1:7" ht="12" customHeight="1">
      <c r="A5" s="306" t="s">
        <v>28</v>
      </c>
      <c r="B5" s="297" t="s">
        <v>95</v>
      </c>
      <c r="C5" s="286">
        <f>SUM(C6:C8)</f>
        <v>1900639</v>
      </c>
      <c r="D5" s="287">
        <f>D6+D7+D8</f>
        <v>2026956</v>
      </c>
      <c r="E5" s="286">
        <f>E6+E7+E8</f>
        <v>1720279</v>
      </c>
      <c r="F5" s="287">
        <f>F6+F7+F8</f>
        <v>1715491</v>
      </c>
      <c r="G5" s="288">
        <f>G6+G7+G8</f>
        <v>1719558</v>
      </c>
    </row>
    <row r="6" spans="1:7" ht="12" customHeight="1">
      <c r="A6" s="306" t="s">
        <v>30</v>
      </c>
      <c r="B6" s="298" t="s">
        <v>96</v>
      </c>
      <c r="C6" s="91">
        <v>366816</v>
      </c>
      <c r="D6" s="92">
        <f>338413+63258</f>
        <v>401671</v>
      </c>
      <c r="E6" s="91">
        <f>'4.sz.Bev-kiad.'!C18+46300</f>
        <v>290712</v>
      </c>
      <c r="F6" s="92">
        <f>286667-1200-1</f>
        <v>285466</v>
      </c>
      <c r="G6" s="282">
        <f>286667-1200-1+4067</f>
        <v>289533</v>
      </c>
    </row>
    <row r="7" spans="1:7" ht="12" customHeight="1">
      <c r="A7" s="306" t="s">
        <v>32</v>
      </c>
      <c r="B7" s="298" t="s">
        <v>97</v>
      </c>
      <c r="C7" s="91">
        <v>174754</v>
      </c>
      <c r="D7" s="92">
        <v>148155</v>
      </c>
      <c r="E7" s="91">
        <v>105700</v>
      </c>
      <c r="F7" s="92">
        <v>105700</v>
      </c>
      <c r="G7" s="282">
        <v>105700</v>
      </c>
    </row>
    <row r="8" spans="1:7" ht="12" customHeight="1">
      <c r="A8" s="306" t="s">
        <v>34</v>
      </c>
      <c r="B8" s="298" t="s">
        <v>98</v>
      </c>
      <c r="C8" s="91">
        <f>SUM(C9:C15)</f>
        <v>1359069</v>
      </c>
      <c r="D8" s="92">
        <f>SUM(D9:D15)</f>
        <v>1477130</v>
      </c>
      <c r="E8" s="91">
        <f>SUM(E9:E15)</f>
        <v>1323867</v>
      </c>
      <c r="F8" s="92">
        <f>SUM(F9:F15)</f>
        <v>1324325</v>
      </c>
      <c r="G8" s="282">
        <f>SUM(G9:G15)</f>
        <v>1324325</v>
      </c>
    </row>
    <row r="9" spans="1:7" ht="12" customHeight="1">
      <c r="A9" s="306" t="s">
        <v>36</v>
      </c>
      <c r="B9" s="299" t="s">
        <v>99</v>
      </c>
      <c r="C9" s="93">
        <v>713798</v>
      </c>
      <c r="D9" s="94">
        <v>898955</v>
      </c>
      <c r="E9" s="93">
        <v>800000</v>
      </c>
      <c r="F9" s="94">
        <v>800000</v>
      </c>
      <c r="G9" s="283">
        <v>800000</v>
      </c>
    </row>
    <row r="10" spans="1:7" ht="12" customHeight="1">
      <c r="A10" s="306" t="s">
        <v>38</v>
      </c>
      <c r="B10" s="299" t="s">
        <v>100</v>
      </c>
      <c r="C10" s="93">
        <v>46788</v>
      </c>
      <c r="D10" s="94">
        <v>47259</v>
      </c>
      <c r="E10" s="93">
        <v>50200</v>
      </c>
      <c r="F10" s="94">
        <v>50200</v>
      </c>
      <c r="G10" s="283">
        <v>50200</v>
      </c>
    </row>
    <row r="11" spans="1:7" ht="12" customHeight="1">
      <c r="A11" s="306" t="s">
        <v>40</v>
      </c>
      <c r="B11" s="299" t="s">
        <v>101</v>
      </c>
      <c r="C11" s="93">
        <v>2596</v>
      </c>
      <c r="D11" s="94">
        <v>2279</v>
      </c>
      <c r="E11" s="93">
        <v>2200</v>
      </c>
      <c r="F11" s="94">
        <v>2200</v>
      </c>
      <c r="G11" s="283">
        <v>2200</v>
      </c>
    </row>
    <row r="12" spans="1:7" ht="12" customHeight="1">
      <c r="A12" s="306" t="s">
        <v>42</v>
      </c>
      <c r="B12" s="299" t="s">
        <v>102</v>
      </c>
      <c r="C12" s="93">
        <v>108568</v>
      </c>
      <c r="D12" s="94">
        <v>116128</v>
      </c>
      <c r="E12" s="93">
        <v>110000</v>
      </c>
      <c r="F12" s="94">
        <v>110000</v>
      </c>
      <c r="G12" s="283">
        <v>110000</v>
      </c>
    </row>
    <row r="13" spans="1:7" ht="12" customHeight="1">
      <c r="A13" s="306" t="s">
        <v>44</v>
      </c>
      <c r="B13" s="299" t="s">
        <v>103</v>
      </c>
      <c r="C13" s="93">
        <v>451786</v>
      </c>
      <c r="D13" s="94">
        <v>380076</v>
      </c>
      <c r="E13" s="93">
        <v>339167</v>
      </c>
      <c r="F13" s="94">
        <v>338425</v>
      </c>
      <c r="G13" s="283">
        <v>338425</v>
      </c>
    </row>
    <row r="14" spans="1:7" ht="12" customHeight="1">
      <c r="A14" s="306" t="s">
        <v>46</v>
      </c>
      <c r="B14" s="299" t="s">
        <v>104</v>
      </c>
      <c r="C14" s="93">
        <f>35533-6502</f>
        <v>29031</v>
      </c>
      <c r="D14" s="94">
        <v>25680</v>
      </c>
      <c r="E14" s="93">
        <v>15300</v>
      </c>
      <c r="F14" s="94">
        <f>15300+1200</f>
        <v>16500</v>
      </c>
      <c r="G14" s="283">
        <f>15300+1200</f>
        <v>16500</v>
      </c>
    </row>
    <row r="15" spans="1:7" ht="12" customHeight="1">
      <c r="A15" s="306" t="s">
        <v>48</v>
      </c>
      <c r="B15" s="299" t="s">
        <v>105</v>
      </c>
      <c r="C15" s="93">
        <v>6502</v>
      </c>
      <c r="D15" s="94">
        <v>6753</v>
      </c>
      <c r="E15" s="93">
        <v>7000</v>
      </c>
      <c r="F15" s="94">
        <v>7000</v>
      </c>
      <c r="G15" s="283">
        <v>7000</v>
      </c>
    </row>
    <row r="16" spans="1:7" ht="12" customHeight="1">
      <c r="A16" s="306" t="s">
        <v>50</v>
      </c>
      <c r="B16" s="299"/>
      <c r="C16" s="93"/>
      <c r="D16" s="94"/>
      <c r="E16" s="93"/>
      <c r="F16" s="94"/>
      <c r="G16" s="283"/>
    </row>
    <row r="17" spans="1:7" ht="12" customHeight="1">
      <c r="A17" s="306" t="s">
        <v>52</v>
      </c>
      <c r="B17" s="298" t="s">
        <v>106</v>
      </c>
      <c r="C17" s="91">
        <f>SUM(C18:C26)</f>
        <v>2828998</v>
      </c>
      <c r="D17" s="92">
        <f>SUM(D18:D26)</f>
        <v>2672960</v>
      </c>
      <c r="E17" s="91">
        <f>SUM(E18:E26)</f>
        <v>1907072</v>
      </c>
      <c r="F17" s="92">
        <f>SUM(F18:F26)</f>
        <v>2290560</v>
      </c>
      <c r="G17" s="282">
        <f>SUM(G18:G26)</f>
        <v>2308465</v>
      </c>
    </row>
    <row r="18" spans="1:7" ht="12" customHeight="1">
      <c r="A18" s="306" t="s">
        <v>54</v>
      </c>
      <c r="B18" s="299" t="s">
        <v>107</v>
      </c>
      <c r="C18" s="93">
        <v>1816907</v>
      </c>
      <c r="D18" s="94">
        <f>1630843+27492</f>
        <v>1658335</v>
      </c>
      <c r="E18" s="93">
        <v>1639242</v>
      </c>
      <c r="F18" s="94">
        <v>1629944</v>
      </c>
      <c r="G18" s="283">
        <f>1629944-25549</f>
        <v>1604395</v>
      </c>
    </row>
    <row r="19" spans="1:7" ht="12" customHeight="1">
      <c r="A19" s="306" t="s">
        <v>56</v>
      </c>
      <c r="B19" s="299" t="s">
        <v>108</v>
      </c>
      <c r="C19" s="93">
        <v>12748</v>
      </c>
      <c r="D19" s="94">
        <v>7500</v>
      </c>
      <c r="E19" s="93">
        <v>19448</v>
      </c>
      <c r="F19" s="94">
        <v>19448</v>
      </c>
      <c r="G19" s="283">
        <v>19448</v>
      </c>
    </row>
    <row r="20" spans="1:7" ht="12" customHeight="1">
      <c r="A20" s="306" t="s">
        <v>57</v>
      </c>
      <c r="B20" s="299" t="s">
        <v>109</v>
      </c>
      <c r="C20" s="93">
        <v>260930</v>
      </c>
      <c r="D20" s="94">
        <v>248562</v>
      </c>
      <c r="E20" s="93">
        <v>248382</v>
      </c>
      <c r="F20" s="94">
        <v>248382</v>
      </c>
      <c r="G20" s="283">
        <v>248382</v>
      </c>
    </row>
    <row r="21" spans="1:7" ht="12" customHeight="1">
      <c r="A21" s="306" t="s">
        <v>62</v>
      </c>
      <c r="B21" s="299" t="s">
        <v>110</v>
      </c>
      <c r="C21" s="93">
        <v>75007</v>
      </c>
      <c r="D21" s="94">
        <v>53000</v>
      </c>
      <c r="E21" s="93"/>
      <c r="F21" s="94">
        <v>53500</v>
      </c>
      <c r="G21" s="283">
        <v>53500</v>
      </c>
    </row>
    <row r="22" spans="1:7" ht="12" customHeight="1">
      <c r="A22" s="306" t="s">
        <v>64</v>
      </c>
      <c r="B22" s="299" t="s">
        <v>111</v>
      </c>
      <c r="C22" s="93">
        <v>447087</v>
      </c>
      <c r="D22" s="94">
        <v>543643</v>
      </c>
      <c r="E22" s="93"/>
      <c r="F22" s="94">
        <v>166877</v>
      </c>
      <c r="G22" s="283">
        <v>166877</v>
      </c>
    </row>
    <row r="23" spans="1:7" ht="12" customHeight="1">
      <c r="A23" s="306" t="s">
        <v>67</v>
      </c>
      <c r="B23" s="299" t="s">
        <v>112</v>
      </c>
      <c r="C23" s="93">
        <f>209982+1448</f>
        <v>211430</v>
      </c>
      <c r="D23" s="95">
        <v>146822</v>
      </c>
      <c r="E23" s="93"/>
      <c r="F23" s="94">
        <f>5213+250</f>
        <v>5463</v>
      </c>
      <c r="G23" s="283">
        <f>5213+250+43454</f>
        <v>48917</v>
      </c>
    </row>
    <row r="24" spans="1:7" ht="12" customHeight="1">
      <c r="A24" s="306" t="s">
        <v>70</v>
      </c>
      <c r="B24" s="299" t="s">
        <v>113</v>
      </c>
      <c r="C24" s="93">
        <v>4889</v>
      </c>
      <c r="D24" s="94">
        <v>15098</v>
      </c>
      <c r="E24" s="93"/>
      <c r="F24" s="94">
        <f>1100</f>
        <v>1100</v>
      </c>
      <c r="G24" s="283">
        <f>1100</f>
        <v>1100</v>
      </c>
    </row>
    <row r="25" spans="1:7" ht="12" customHeight="1">
      <c r="A25" s="306" t="s">
        <v>73</v>
      </c>
      <c r="B25" s="299" t="s">
        <v>114</v>
      </c>
      <c r="C25" s="93"/>
      <c r="D25" s="94"/>
      <c r="E25" s="93"/>
      <c r="F25" s="94">
        <v>137332</v>
      </c>
      <c r="G25" s="283">
        <v>137332</v>
      </c>
    </row>
    <row r="26" spans="1:7" ht="12" customHeight="1">
      <c r="A26" s="306" t="s">
        <v>76</v>
      </c>
      <c r="B26" s="299" t="s">
        <v>115</v>
      </c>
      <c r="C26" s="93"/>
      <c r="D26" s="94"/>
      <c r="E26" s="93"/>
      <c r="F26" s="94">
        <v>28514</v>
      </c>
      <c r="G26" s="283">
        <v>28514</v>
      </c>
    </row>
    <row r="27" spans="1:7" ht="12" customHeight="1">
      <c r="A27" s="306" t="s">
        <v>79</v>
      </c>
      <c r="B27" s="298" t="s">
        <v>116</v>
      </c>
      <c r="C27" s="91">
        <f>SUM(C28:C31)</f>
        <v>184394</v>
      </c>
      <c r="D27" s="92">
        <f>SUM(D28:D31)</f>
        <v>151288</v>
      </c>
      <c r="E27" s="91">
        <f>SUM(E28:E31)</f>
        <v>440710</v>
      </c>
      <c r="F27" s="92">
        <f>SUM(F28:F31)</f>
        <v>451760</v>
      </c>
      <c r="G27" s="282">
        <f>SUM(G28:G31)</f>
        <v>492998</v>
      </c>
    </row>
    <row r="28" spans="1:7" ht="12" customHeight="1">
      <c r="A28" s="306" t="s">
        <v>82</v>
      </c>
      <c r="B28" s="299" t="s">
        <v>117</v>
      </c>
      <c r="C28" s="93">
        <v>8775</v>
      </c>
      <c r="D28" s="94">
        <v>51351</v>
      </c>
      <c r="E28" s="93">
        <f>159040+39760+183160-183160</f>
        <v>198800</v>
      </c>
      <c r="F28" s="94">
        <f>343250-183160+39760+10000</f>
        <v>209850</v>
      </c>
      <c r="G28" s="283">
        <f>343250-183160+39760+10000+41238</f>
        <v>251088</v>
      </c>
    </row>
    <row r="29" spans="1:7" ht="12" customHeight="1">
      <c r="A29" s="306" t="s">
        <v>85</v>
      </c>
      <c r="B29" s="299" t="s">
        <v>118</v>
      </c>
      <c r="C29" s="93">
        <v>175619</v>
      </c>
      <c r="D29" s="94">
        <v>11187</v>
      </c>
      <c r="E29" s="93">
        <f>8750</f>
        <v>8750</v>
      </c>
      <c r="F29" s="94">
        <v>8750</v>
      </c>
      <c r="G29" s="283">
        <v>8750</v>
      </c>
    </row>
    <row r="30" spans="1:7" ht="12" customHeight="1">
      <c r="A30" s="306" t="s">
        <v>119</v>
      </c>
      <c r="B30" s="299" t="s">
        <v>120</v>
      </c>
      <c r="C30" s="93"/>
      <c r="D30" s="94">
        <v>88750</v>
      </c>
      <c r="E30" s="93"/>
      <c r="F30" s="94"/>
      <c r="G30" s="283"/>
    </row>
    <row r="31" spans="1:7" ht="12" customHeight="1">
      <c r="A31" s="306" t="s">
        <v>121</v>
      </c>
      <c r="B31" s="299" t="s">
        <v>122</v>
      </c>
      <c r="C31" s="93"/>
      <c r="D31" s="94"/>
      <c r="E31" s="93">
        <f>50000+183160</f>
        <v>233160</v>
      </c>
      <c r="F31" s="94">
        <f>50000+183160</f>
        <v>233160</v>
      </c>
      <c r="G31" s="283">
        <f>50000+183160</f>
        <v>233160</v>
      </c>
    </row>
    <row r="32" spans="1:7" s="96" customFormat="1" ht="12" customHeight="1">
      <c r="A32" s="306" t="s">
        <v>123</v>
      </c>
      <c r="B32" s="298" t="s">
        <v>124</v>
      </c>
      <c r="C32" s="91">
        <f>C33+C35</f>
        <v>3967677</v>
      </c>
      <c r="D32" s="92">
        <f>D33+D35</f>
        <v>4413446</v>
      </c>
      <c r="E32" s="91">
        <f>E33+E35</f>
        <v>4180965</v>
      </c>
      <c r="F32" s="92">
        <f>F33+F35</f>
        <v>4231655</v>
      </c>
      <c r="G32" s="282">
        <f>G33+G35</f>
        <v>4236582</v>
      </c>
    </row>
    <row r="33" spans="1:7" ht="12" customHeight="1">
      <c r="A33" s="306" t="s">
        <v>125</v>
      </c>
      <c r="B33" s="299" t="s">
        <v>126</v>
      </c>
      <c r="C33" s="93">
        <v>3881541</v>
      </c>
      <c r="D33" s="94">
        <v>4233894</v>
      </c>
      <c r="E33" s="93">
        <f>4188882+420-10000</f>
        <v>4179302</v>
      </c>
      <c r="F33" s="94">
        <f>4099198-4911+2420+74419</f>
        <v>4171126</v>
      </c>
      <c r="G33" s="283">
        <f>4099198-4911+2420+74419+4527+10</f>
        <v>4175663</v>
      </c>
    </row>
    <row r="34" spans="1:7" ht="12" customHeight="1">
      <c r="A34" s="306" t="s">
        <v>127</v>
      </c>
      <c r="B34" s="298" t="s">
        <v>128</v>
      </c>
      <c r="C34" s="93">
        <v>3554106</v>
      </c>
      <c r="D34" s="94">
        <v>3932482</v>
      </c>
      <c r="E34" s="93">
        <f>3720300+600</f>
        <v>3720900</v>
      </c>
      <c r="F34" s="94">
        <f>3720300+600</f>
        <v>3720900</v>
      </c>
      <c r="G34" s="283">
        <f>3720300+600+2600</f>
        <v>3723500</v>
      </c>
    </row>
    <row r="35" spans="1:7" ht="12" customHeight="1">
      <c r="A35" s="306" t="s">
        <v>129</v>
      </c>
      <c r="B35" s="298" t="s">
        <v>130</v>
      </c>
      <c r="C35" s="93">
        <v>86136</v>
      </c>
      <c r="D35" s="94">
        <v>179552</v>
      </c>
      <c r="E35" s="93">
        <f>1100+563</f>
        <v>1663</v>
      </c>
      <c r="F35" s="94">
        <f>42563+17966</f>
        <v>60529</v>
      </c>
      <c r="G35" s="283">
        <f>42563+17966+390</f>
        <v>60919</v>
      </c>
    </row>
    <row r="36" spans="1:7" ht="12" customHeight="1">
      <c r="A36" s="306" t="s">
        <v>131</v>
      </c>
      <c r="B36" s="299" t="s">
        <v>132</v>
      </c>
      <c r="C36" s="93">
        <v>86136</v>
      </c>
      <c r="D36" s="94">
        <v>160000</v>
      </c>
      <c r="E36" s="93"/>
      <c r="F36" s="94"/>
      <c r="G36" s="283"/>
    </row>
    <row r="37" spans="1:7" ht="12" customHeight="1">
      <c r="A37" s="306" t="s">
        <v>133</v>
      </c>
      <c r="B37" s="298" t="s">
        <v>134</v>
      </c>
      <c r="C37" s="91">
        <f>C38+C39</f>
        <v>242992</v>
      </c>
      <c r="D37" s="92">
        <f>D38+D39</f>
        <v>121117</v>
      </c>
      <c r="E37" s="91">
        <f>E38+E39</f>
        <v>1557088</v>
      </c>
      <c r="F37" s="92">
        <f>F38+F39</f>
        <v>1634284</v>
      </c>
      <c r="G37" s="282">
        <f>G38+G39</f>
        <v>1654883</v>
      </c>
    </row>
    <row r="38" spans="1:7" ht="12" customHeight="1">
      <c r="A38" s="306" t="s">
        <v>135</v>
      </c>
      <c r="B38" s="299" t="s">
        <v>136</v>
      </c>
      <c r="C38" s="93">
        <f>65538+128247</f>
        <v>193785</v>
      </c>
      <c r="D38" s="94">
        <v>53459</v>
      </c>
      <c r="E38" s="93">
        <v>10000</v>
      </c>
      <c r="F38" s="94">
        <f>67273+2011+4223</f>
        <v>73507</v>
      </c>
      <c r="G38" s="283">
        <f>67273+2011+4223+16837</f>
        <v>90344</v>
      </c>
    </row>
    <row r="39" spans="1:7" ht="12" customHeight="1">
      <c r="A39" s="306" t="s">
        <v>137</v>
      </c>
      <c r="B39" s="299" t="s">
        <v>138</v>
      </c>
      <c r="C39" s="93">
        <v>49207</v>
      </c>
      <c r="D39" s="94">
        <v>67658</v>
      </c>
      <c r="E39" s="93">
        <f>1505088+42000</f>
        <v>1547088</v>
      </c>
      <c r="F39" s="94">
        <v>1560777</v>
      </c>
      <c r="G39" s="283">
        <f>1560777+3762</f>
        <v>1564539</v>
      </c>
    </row>
    <row r="40" spans="1:7" ht="12" customHeight="1">
      <c r="A40" s="306" t="s">
        <v>139</v>
      </c>
      <c r="B40" s="298" t="s">
        <v>140</v>
      </c>
      <c r="C40" s="91">
        <v>10528</v>
      </c>
      <c r="D40" s="92">
        <v>39385</v>
      </c>
      <c r="E40" s="91">
        <v>9800</v>
      </c>
      <c r="F40" s="92">
        <v>9800</v>
      </c>
      <c r="G40" s="282">
        <v>9800</v>
      </c>
    </row>
    <row r="41" spans="1:7" ht="12" customHeight="1" thickBot="1">
      <c r="A41" s="306" t="s">
        <v>141</v>
      </c>
      <c r="B41" s="300"/>
      <c r="C41" s="109"/>
      <c r="D41" s="108"/>
      <c r="E41" s="109"/>
      <c r="F41" s="108"/>
      <c r="G41" s="284"/>
    </row>
    <row r="42" spans="1:7" ht="18.75" customHeight="1" thickBot="1">
      <c r="A42" s="306" t="s">
        <v>142</v>
      </c>
      <c r="B42" s="301" t="s">
        <v>143</v>
      </c>
      <c r="C42" s="276">
        <f>SUM(C5+C17+C27+C32+C37+C40)</f>
        <v>9135228</v>
      </c>
      <c r="D42" s="277">
        <f>SUM(D5+D17+D27+D32+D37+D40)</f>
        <v>9425152</v>
      </c>
      <c r="E42" s="276">
        <f>SUM(E5+E17+E27+E32+E37+E40)</f>
        <v>9815914</v>
      </c>
      <c r="F42" s="277">
        <f>SUM(F5+F17+F27+F32+F37+F40)</f>
        <v>10333550</v>
      </c>
      <c r="G42" s="278">
        <f>SUM(G5+G17+G27+G32+G37+G40)</f>
        <v>10422286</v>
      </c>
    </row>
    <row r="43" spans="1:7" ht="12" customHeight="1">
      <c r="A43" s="306" t="s">
        <v>144</v>
      </c>
      <c r="B43" s="302" t="s">
        <v>145</v>
      </c>
      <c r="C43" s="97">
        <f>SUM(C44:C45)</f>
        <v>562051</v>
      </c>
      <c r="D43" s="98">
        <f>SUM(D44:D45)</f>
        <v>826967</v>
      </c>
      <c r="E43" s="97">
        <f>SUM(E44:E45)</f>
        <v>228411</v>
      </c>
      <c r="F43" s="98">
        <f>SUM(F44:F45)</f>
        <v>1915978</v>
      </c>
      <c r="G43" s="285">
        <f>SUM(G44:G45)</f>
        <v>1915978</v>
      </c>
    </row>
    <row r="44" spans="1:7" ht="12" customHeight="1">
      <c r="A44" s="306" t="s">
        <v>146</v>
      </c>
      <c r="B44" s="299" t="s">
        <v>147</v>
      </c>
      <c r="C44" s="93">
        <v>357051</v>
      </c>
      <c r="D44" s="94">
        <v>421887</v>
      </c>
      <c r="E44" s="91"/>
      <c r="F44" s="94">
        <v>340927</v>
      </c>
      <c r="G44" s="283">
        <v>340927</v>
      </c>
    </row>
    <row r="45" spans="1:7" ht="12" customHeight="1">
      <c r="A45" s="306" t="s">
        <v>148</v>
      </c>
      <c r="B45" s="299" t="s">
        <v>149</v>
      </c>
      <c r="C45" s="93">
        <v>205000</v>
      </c>
      <c r="D45" s="94">
        <v>405080</v>
      </c>
      <c r="E45" s="93">
        <v>228411</v>
      </c>
      <c r="F45" s="94">
        <f>228411+320+18000+602115+726205</f>
        <v>1575051</v>
      </c>
      <c r="G45" s="283">
        <f>228411+320+18000+602115+726205</f>
        <v>1575051</v>
      </c>
    </row>
    <row r="46" spans="1:7" ht="12" customHeight="1">
      <c r="A46" s="306" t="s">
        <v>150</v>
      </c>
      <c r="B46" s="299" t="s">
        <v>151</v>
      </c>
      <c r="C46" s="91"/>
      <c r="D46" s="94"/>
      <c r="E46" s="93"/>
      <c r="F46" s="94"/>
      <c r="G46" s="283"/>
    </row>
    <row r="47" spans="1:7" ht="12" customHeight="1">
      <c r="A47" s="306" t="s">
        <v>152</v>
      </c>
      <c r="B47" s="299"/>
      <c r="C47" s="91"/>
      <c r="D47" s="94"/>
      <c r="E47" s="93"/>
      <c r="F47" s="94"/>
      <c r="G47" s="283"/>
    </row>
    <row r="48" spans="1:7" ht="12" customHeight="1">
      <c r="A48" s="306" t="s">
        <v>153</v>
      </c>
      <c r="B48" s="298" t="s">
        <v>154</v>
      </c>
      <c r="C48" s="91"/>
      <c r="D48" s="92">
        <f>SUM(D49:D50)</f>
        <v>59094</v>
      </c>
      <c r="E48" s="91"/>
      <c r="F48" s="92"/>
      <c r="G48" s="282"/>
    </row>
    <row r="49" spans="1:7" ht="12" customHeight="1">
      <c r="A49" s="306" t="s">
        <v>155</v>
      </c>
      <c r="B49" s="299" t="s">
        <v>156</v>
      </c>
      <c r="C49" s="93"/>
      <c r="D49" s="94"/>
      <c r="E49" s="93"/>
      <c r="F49" s="94"/>
      <c r="G49" s="283"/>
    </row>
    <row r="50" spans="1:7" ht="12" customHeight="1">
      <c r="A50" s="306" t="s">
        <v>157</v>
      </c>
      <c r="B50" s="299" t="s">
        <v>158</v>
      </c>
      <c r="C50" s="93"/>
      <c r="D50" s="94">
        <v>59094</v>
      </c>
      <c r="E50" s="93"/>
      <c r="F50" s="94"/>
      <c r="G50" s="283"/>
    </row>
    <row r="51" spans="1:7" ht="12" customHeight="1">
      <c r="A51" s="306" t="s">
        <v>159</v>
      </c>
      <c r="B51" s="298" t="s">
        <v>160</v>
      </c>
      <c r="C51" s="91">
        <v>1056080</v>
      </c>
      <c r="D51" s="92"/>
      <c r="E51" s="91"/>
      <c r="F51" s="92"/>
      <c r="G51" s="282"/>
    </row>
    <row r="52" spans="1:7" ht="12" customHeight="1">
      <c r="A52" s="306" t="s">
        <v>161</v>
      </c>
      <c r="B52" s="298" t="s">
        <v>162</v>
      </c>
      <c r="C52" s="91">
        <f>SUM(C53:C55)</f>
        <v>88279</v>
      </c>
      <c r="D52" s="92">
        <f>SUM(D53:D55)</f>
        <v>170000</v>
      </c>
      <c r="E52" s="91">
        <f>SUM(E53:E55)</f>
        <v>610951</v>
      </c>
      <c r="F52" s="92">
        <f>SUM(F53:F55)</f>
        <v>662328</v>
      </c>
      <c r="G52" s="282">
        <f>SUM(G53:G55)</f>
        <v>665830</v>
      </c>
    </row>
    <row r="53" spans="1:7" ht="12" customHeight="1">
      <c r="A53" s="306" t="s">
        <v>163</v>
      </c>
      <c r="B53" s="299" t="s">
        <v>164</v>
      </c>
      <c r="C53" s="93"/>
      <c r="D53" s="94">
        <v>170000</v>
      </c>
      <c r="E53" s="93"/>
      <c r="F53" s="94"/>
      <c r="G53" s="283"/>
    </row>
    <row r="54" spans="1:7" ht="12" customHeight="1">
      <c r="A54" s="306" t="s">
        <v>165</v>
      </c>
      <c r="B54" s="299" t="s">
        <v>166</v>
      </c>
      <c r="C54" s="93">
        <v>88279</v>
      </c>
      <c r="D54" s="94"/>
      <c r="E54" s="93">
        <f>248374+362577</f>
        <v>610951</v>
      </c>
      <c r="F54" s="94">
        <f>698390-36062</f>
        <v>662328</v>
      </c>
      <c r="G54" s="283">
        <f>698390-36062+3502</f>
        <v>665830</v>
      </c>
    </row>
    <row r="55" spans="1:7" ht="12" customHeight="1">
      <c r="A55" s="306" t="s">
        <v>167</v>
      </c>
      <c r="B55" s="299" t="s">
        <v>168</v>
      </c>
      <c r="C55" s="93"/>
      <c r="D55" s="94"/>
      <c r="E55" s="93"/>
      <c r="F55" s="94"/>
      <c r="G55" s="283"/>
    </row>
    <row r="56" spans="1:7" ht="12" customHeight="1">
      <c r="A56" s="306" t="s">
        <v>169</v>
      </c>
      <c r="B56" s="298" t="s">
        <v>170</v>
      </c>
      <c r="C56" s="91">
        <v>3864</v>
      </c>
      <c r="D56" s="92">
        <v>-106019</v>
      </c>
      <c r="E56" s="93"/>
      <c r="F56" s="94"/>
      <c r="G56" s="283"/>
    </row>
    <row r="57" spans="1:7" ht="12" customHeight="1" thickBot="1">
      <c r="A57" s="306" t="s">
        <v>171</v>
      </c>
      <c r="B57" s="300"/>
      <c r="C57" s="106"/>
      <c r="D57" s="105"/>
      <c r="E57" s="106"/>
      <c r="F57" s="105"/>
      <c r="G57" s="314"/>
    </row>
    <row r="58" spans="1:7" ht="18.75" customHeight="1" thickBot="1">
      <c r="A58" s="306" t="s">
        <v>172</v>
      </c>
      <c r="B58" s="333" t="s">
        <v>173</v>
      </c>
      <c r="C58" s="338">
        <f>SUM(C48+C51+C52+C56)</f>
        <v>1148223</v>
      </c>
      <c r="D58" s="337">
        <f>SUM(D48+D51+D52+D56)</f>
        <v>123075</v>
      </c>
      <c r="E58" s="338">
        <f>SUM(E48+E51+E52+E56)</f>
        <v>610951</v>
      </c>
      <c r="F58" s="340">
        <f>SUM(F48+F51+F52+F56)</f>
        <v>662328</v>
      </c>
      <c r="G58" s="341">
        <f>SUM(G48+G51+G52+G56)</f>
        <v>665830</v>
      </c>
    </row>
    <row r="59" spans="1:7" ht="18.75" customHeight="1" thickBot="1">
      <c r="A59" s="307" t="s">
        <v>174</v>
      </c>
      <c r="B59" s="303" t="s">
        <v>175</v>
      </c>
      <c r="C59" s="279">
        <f>SUM(C42+C43+C58)</f>
        <v>10845502</v>
      </c>
      <c r="D59" s="280">
        <f>SUM(D42+D43+D58)</f>
        <v>10375194</v>
      </c>
      <c r="E59" s="279">
        <f>SUM(E42+E43+E58)</f>
        <v>10655276</v>
      </c>
      <c r="F59" s="280">
        <f>SUM(F42+F43+F58)</f>
        <v>12911856</v>
      </c>
      <c r="G59" s="281">
        <f>SUM(G42+G43+G58)</f>
        <v>13004094</v>
      </c>
    </row>
    <row r="60" spans="1:5" ht="12.75">
      <c r="A60" s="99"/>
      <c r="C60" s="100"/>
      <c r="D60" s="100"/>
      <c r="E60" s="100"/>
    </row>
    <row r="61" spans="1:5" ht="15">
      <c r="A61" s="499" t="s">
        <v>176</v>
      </c>
      <c r="B61" s="499"/>
      <c r="C61" s="499"/>
      <c r="D61" s="499"/>
      <c r="E61" s="499"/>
    </row>
    <row r="62" spans="1:5" ht="13.5" thickBot="1">
      <c r="A62" s="99"/>
      <c r="B62" s="90"/>
      <c r="C62" s="101"/>
      <c r="D62" s="89" t="s">
        <v>87</v>
      </c>
      <c r="E62" s="101"/>
    </row>
    <row r="63" spans="1:7" ht="13.5" thickBot="1">
      <c r="A63" s="304"/>
      <c r="B63" s="327" t="s">
        <v>2</v>
      </c>
      <c r="C63" s="328" t="s">
        <v>88</v>
      </c>
      <c r="D63" s="328" t="s">
        <v>4</v>
      </c>
      <c r="E63" s="329" t="s">
        <v>5</v>
      </c>
      <c r="F63" s="329" t="s">
        <v>6</v>
      </c>
      <c r="G63" s="330" t="s">
        <v>7</v>
      </c>
    </row>
    <row r="64" spans="1:7" ht="21" customHeight="1" thickBot="1">
      <c r="A64" s="306"/>
      <c r="B64" s="296" t="s">
        <v>177</v>
      </c>
      <c r="C64" s="292" t="s">
        <v>90</v>
      </c>
      <c r="D64" s="293" t="s">
        <v>91</v>
      </c>
      <c r="E64" s="292" t="s">
        <v>92</v>
      </c>
      <c r="F64" s="293" t="s">
        <v>93</v>
      </c>
      <c r="G64" s="294" t="s">
        <v>94</v>
      </c>
    </row>
    <row r="65" spans="1:7" ht="12.75">
      <c r="A65" s="306" t="s">
        <v>178</v>
      </c>
      <c r="B65" s="302" t="s">
        <v>179</v>
      </c>
      <c r="C65" s="97">
        <f>SUM(C66:C70)</f>
        <v>8433948</v>
      </c>
      <c r="D65" s="98">
        <f>SUM(D66:D70)</f>
        <v>8603299</v>
      </c>
      <c r="E65" s="97">
        <f>SUM(E66:E70)</f>
        <v>8131419</v>
      </c>
      <c r="F65" s="98">
        <f>SUM(F66:F70)</f>
        <v>8726814</v>
      </c>
      <c r="G65" s="285">
        <f>SUM(G66:G70)</f>
        <v>8817358</v>
      </c>
    </row>
    <row r="66" spans="1:7" ht="12.75">
      <c r="A66" s="306" t="s">
        <v>180</v>
      </c>
      <c r="B66" s="299" t="s">
        <v>181</v>
      </c>
      <c r="C66" s="94">
        <v>3168937</v>
      </c>
      <c r="D66" s="94">
        <v>3170704</v>
      </c>
      <c r="E66" s="93">
        <f>SUM('4.sz.Bev-kiad.'!L18:O18)</f>
        <v>3090845</v>
      </c>
      <c r="F66" s="94">
        <f>2980096+70834</f>
        <v>3050930</v>
      </c>
      <c r="G66" s="283">
        <f>2980096+70834+39916</f>
        <v>3090846</v>
      </c>
    </row>
    <row r="67" spans="1:7" ht="12.75">
      <c r="A67" s="306" t="s">
        <v>182</v>
      </c>
      <c r="B67" s="299" t="s">
        <v>183</v>
      </c>
      <c r="C67" s="94">
        <v>3680236</v>
      </c>
      <c r="D67" s="94">
        <v>3859743</v>
      </c>
      <c r="E67" s="93">
        <v>3844000</v>
      </c>
      <c r="F67" s="102">
        <f>3844000+304723+10780</f>
        <v>4159503</v>
      </c>
      <c r="G67" s="312">
        <f>3844000+304723+10780</f>
        <v>4159503</v>
      </c>
    </row>
    <row r="68" spans="1:8" ht="12.75">
      <c r="A68" s="306" t="s">
        <v>184</v>
      </c>
      <c r="B68" s="299" t="s">
        <v>185</v>
      </c>
      <c r="C68" s="94">
        <f>1480204+91110+10000</f>
        <v>1581314</v>
      </c>
      <c r="D68" s="94">
        <v>1570304</v>
      </c>
      <c r="E68" s="93">
        <v>1194304</v>
      </c>
      <c r="F68" s="103">
        <f>1520724+20000-26984</f>
        <v>1513740</v>
      </c>
      <c r="G68" s="313">
        <f>1520724+20000-26984+49848</f>
        <v>1563588</v>
      </c>
      <c r="H68" s="104"/>
    </row>
    <row r="69" spans="1:7" ht="12.75">
      <c r="A69" s="306" t="s">
        <v>186</v>
      </c>
      <c r="B69" s="299" t="s">
        <v>187</v>
      </c>
      <c r="C69" s="93">
        <v>2604</v>
      </c>
      <c r="D69" s="94">
        <v>2054</v>
      </c>
      <c r="E69" s="93">
        <v>2010</v>
      </c>
      <c r="F69" s="105">
        <v>2169</v>
      </c>
      <c r="G69" s="314">
        <f>2169+481</f>
        <v>2650</v>
      </c>
    </row>
    <row r="70" spans="1:7" ht="12.75">
      <c r="A70" s="306" t="s">
        <v>188</v>
      </c>
      <c r="B70" s="299" t="s">
        <v>189</v>
      </c>
      <c r="C70" s="93">
        <v>857</v>
      </c>
      <c r="D70" s="94">
        <v>494</v>
      </c>
      <c r="E70" s="93">
        <v>260</v>
      </c>
      <c r="F70" s="94">
        <v>472</v>
      </c>
      <c r="G70" s="283">
        <f>472+299</f>
        <v>771</v>
      </c>
    </row>
    <row r="71" spans="1:7" ht="12.75">
      <c r="A71" s="306" t="s">
        <v>190</v>
      </c>
      <c r="B71" s="299" t="s">
        <v>191</v>
      </c>
      <c r="C71" s="93"/>
      <c r="D71" s="94"/>
      <c r="E71" s="93"/>
      <c r="F71" s="102"/>
      <c r="G71" s="312"/>
    </row>
    <row r="72" spans="1:7" ht="12.75">
      <c r="A72" s="306" t="s">
        <v>192</v>
      </c>
      <c r="B72" s="299" t="s">
        <v>193</v>
      </c>
      <c r="C72" s="94">
        <v>4191497</v>
      </c>
      <c r="D72" s="94">
        <f>4372016+918</f>
        <v>4372934</v>
      </c>
      <c r="E72" s="93">
        <v>4023404</v>
      </c>
      <c r="F72" s="94">
        <f>4023404+26112+99665</f>
        <v>4149181</v>
      </c>
      <c r="G72" s="283">
        <f>4023404+26112+99665+9139</f>
        <v>4158320</v>
      </c>
    </row>
    <row r="73" spans="1:7" ht="12.75">
      <c r="A73" s="306" t="s">
        <v>194</v>
      </c>
      <c r="B73" s="299" t="s">
        <v>195</v>
      </c>
      <c r="C73" s="94">
        <v>1224632</v>
      </c>
      <c r="D73" s="94">
        <f>1101181+248</f>
        <v>1101429</v>
      </c>
      <c r="E73" s="93">
        <v>1093211</v>
      </c>
      <c r="F73" s="94">
        <f>1093211+5252+20702</f>
        <v>1119165</v>
      </c>
      <c r="G73" s="283">
        <f>1093211+5252+20702+1013</f>
        <v>1120178</v>
      </c>
    </row>
    <row r="74" spans="1:7" ht="12.75">
      <c r="A74" s="306" t="s">
        <v>196</v>
      </c>
      <c r="B74" s="299" t="s">
        <v>197</v>
      </c>
      <c r="C74" s="94">
        <v>58452</v>
      </c>
      <c r="D74" s="94">
        <v>66801</v>
      </c>
      <c r="E74" s="93">
        <v>42116</v>
      </c>
      <c r="F74" s="94">
        <f>42116+10490</f>
        <v>52606</v>
      </c>
      <c r="G74" s="283">
        <f>42116+10490+20913</f>
        <v>73519</v>
      </c>
    </row>
    <row r="75" spans="1:7" ht="12.75">
      <c r="A75" s="306" t="s">
        <v>198</v>
      </c>
      <c r="B75" s="299" t="s">
        <v>199</v>
      </c>
      <c r="C75" s="94">
        <v>2401761</v>
      </c>
      <c r="D75" s="94">
        <f>2483459+1357</f>
        <v>2484816</v>
      </c>
      <c r="E75" s="93">
        <f>2227604-5000</f>
        <v>2222604</v>
      </c>
      <c r="F75" s="94">
        <f>2970866-39760-65737</f>
        <v>2865369</v>
      </c>
      <c r="G75" s="283">
        <f>2970866-39760-65737+10241</f>
        <v>2875610</v>
      </c>
    </row>
    <row r="76" spans="1:7" ht="12.75">
      <c r="A76" s="306" t="s">
        <v>200</v>
      </c>
      <c r="B76" s="299" t="s">
        <v>201</v>
      </c>
      <c r="C76" s="94">
        <v>17768</v>
      </c>
      <c r="D76" s="94">
        <v>14653</v>
      </c>
      <c r="E76" s="93">
        <v>47000</v>
      </c>
      <c r="F76" s="94">
        <v>47000</v>
      </c>
      <c r="G76" s="283">
        <v>47000</v>
      </c>
    </row>
    <row r="77" spans="1:7" ht="12.75">
      <c r="A77" s="306" t="s">
        <v>202</v>
      </c>
      <c r="B77" s="299" t="s">
        <v>203</v>
      </c>
      <c r="C77" s="93">
        <v>91110</v>
      </c>
      <c r="D77" s="94">
        <f>31441+90499</f>
        <v>121940</v>
      </c>
      <c r="E77" s="93">
        <v>70000</v>
      </c>
      <c r="F77" s="94">
        <v>70575</v>
      </c>
      <c r="G77" s="283">
        <v>70575</v>
      </c>
    </row>
    <row r="78" spans="1:7" ht="12.75">
      <c r="A78" s="306" t="s">
        <v>204</v>
      </c>
      <c r="B78" s="299" t="s">
        <v>205</v>
      </c>
      <c r="C78" s="93">
        <f>155100-210-128247</f>
        <v>26643</v>
      </c>
      <c r="D78" s="94">
        <v>95089</v>
      </c>
      <c r="E78" s="93">
        <f>3000+500+100+13300</f>
        <v>16900</v>
      </c>
      <c r="F78" s="94">
        <f>19060+2420</f>
        <v>21480</v>
      </c>
      <c r="G78" s="283">
        <f>19060+2420+69238</f>
        <v>90718</v>
      </c>
    </row>
    <row r="79" spans="1:7" ht="12.75">
      <c r="A79" s="306" t="s">
        <v>206</v>
      </c>
      <c r="B79" s="319" t="s">
        <v>207</v>
      </c>
      <c r="C79" s="93">
        <v>293838</v>
      </c>
      <c r="D79" s="94">
        <v>280637</v>
      </c>
      <c r="E79" s="93">
        <v>373910</v>
      </c>
      <c r="F79" s="94">
        <f>373910+7528</f>
        <v>381438</v>
      </c>
      <c r="G79" s="283">
        <f>373910+7528</f>
        <v>381438</v>
      </c>
    </row>
    <row r="80" spans="1:7" ht="12.75">
      <c r="A80" s="306" t="s">
        <v>208</v>
      </c>
      <c r="B80" s="319" t="s">
        <v>209</v>
      </c>
      <c r="C80" s="107"/>
      <c r="D80" s="94">
        <v>65000</v>
      </c>
      <c r="E80" s="93"/>
      <c r="F80" s="94">
        <v>20000</v>
      </c>
      <c r="G80" s="283">
        <v>0</v>
      </c>
    </row>
    <row r="81" spans="1:7" ht="12.75">
      <c r="A81" s="306" t="s">
        <v>210</v>
      </c>
      <c r="B81" s="319" t="s">
        <v>211</v>
      </c>
      <c r="C81" s="93">
        <v>128247</v>
      </c>
      <c r="D81" s="94"/>
      <c r="E81" s="93"/>
      <c r="F81" s="94"/>
      <c r="G81" s="283"/>
    </row>
    <row r="82" spans="1:7" ht="12.75">
      <c r="A82" s="306" t="s">
        <v>212</v>
      </c>
      <c r="B82" s="319" t="s">
        <v>213</v>
      </c>
      <c r="C82" s="93"/>
      <c r="D82" s="94"/>
      <c r="E82" s="93"/>
      <c r="F82" s="94"/>
      <c r="G82" s="283"/>
    </row>
    <row r="83" spans="1:7" ht="12.75">
      <c r="A83" s="306" t="s">
        <v>214</v>
      </c>
      <c r="B83" s="319"/>
      <c r="C83" s="94"/>
      <c r="D83" s="94"/>
      <c r="E83" s="93"/>
      <c r="F83" s="94"/>
      <c r="G83" s="283"/>
    </row>
    <row r="84" spans="1:7" ht="12.75">
      <c r="A84" s="306" t="s">
        <v>215</v>
      </c>
      <c r="B84" s="298" t="s">
        <v>216</v>
      </c>
      <c r="C84" s="91">
        <f>SUM(C85:C91)</f>
        <v>238531</v>
      </c>
      <c r="D84" s="92">
        <f>SUM(D85:D91)</f>
        <v>506417</v>
      </c>
      <c r="E84" s="91">
        <f>SUM(E85:E91)</f>
        <v>2138676</v>
      </c>
      <c r="F84" s="92">
        <f>SUM(F85:F91)</f>
        <v>2846530</v>
      </c>
      <c r="G84" s="282">
        <f>SUM(G85:G91)</f>
        <v>2848224</v>
      </c>
    </row>
    <row r="85" spans="1:7" ht="12.75">
      <c r="A85" s="306" t="s">
        <v>217</v>
      </c>
      <c r="B85" s="299" t="s">
        <v>218</v>
      </c>
      <c r="C85" s="93">
        <v>199014</v>
      </c>
      <c r="D85" s="94">
        <v>438870</v>
      </c>
      <c r="E85" s="93">
        <f>1401110+325831+15325-39760</f>
        <v>1702506</v>
      </c>
      <c r="F85" s="94">
        <f>2039798+211</f>
        <v>2040009</v>
      </c>
      <c r="G85" s="283">
        <f>2039798+211+9014</f>
        <v>2049023</v>
      </c>
    </row>
    <row r="86" spans="1:7" ht="12.75">
      <c r="A86" s="306" t="s">
        <v>219</v>
      </c>
      <c r="B86" s="299" t="s">
        <v>220</v>
      </c>
      <c r="C86" s="93">
        <v>28695</v>
      </c>
      <c r="D86" s="94"/>
      <c r="E86" s="93">
        <f>26410+300000+15000</f>
        <v>341410</v>
      </c>
      <c r="F86" s="94">
        <f>689303+22458</f>
        <v>711761</v>
      </c>
      <c r="G86" s="283">
        <f>689303+22458-7320</f>
        <v>704441</v>
      </c>
    </row>
    <row r="87" spans="1:7" ht="12.75">
      <c r="A87" s="306" t="s">
        <v>221</v>
      </c>
      <c r="B87" s="319" t="s">
        <v>222</v>
      </c>
      <c r="C87" s="93"/>
      <c r="D87" s="94"/>
      <c r="E87" s="93">
        <v>50000</v>
      </c>
      <c r="F87" s="94">
        <v>50000</v>
      </c>
      <c r="G87" s="283">
        <v>50000</v>
      </c>
    </row>
    <row r="88" spans="1:7" ht="12.75">
      <c r="A88" s="306" t="s">
        <v>223</v>
      </c>
      <c r="B88" s="299" t="s">
        <v>224</v>
      </c>
      <c r="C88" s="94">
        <v>210</v>
      </c>
      <c r="D88" s="94">
        <v>2226</v>
      </c>
      <c r="E88" s="93"/>
      <c r="F88" s="94"/>
      <c r="G88" s="283"/>
    </row>
    <row r="89" spans="1:7" ht="12.75">
      <c r="A89" s="306" t="s">
        <v>225</v>
      </c>
      <c r="B89" s="319" t="s">
        <v>226</v>
      </c>
      <c r="C89" s="93"/>
      <c r="D89" s="94">
        <v>4100</v>
      </c>
      <c r="E89" s="93">
        <v>5000</v>
      </c>
      <c r="F89" s="94">
        <v>5000</v>
      </c>
      <c r="G89" s="283">
        <v>5000</v>
      </c>
    </row>
    <row r="90" spans="1:7" ht="12.75">
      <c r="A90" s="306" t="s">
        <v>227</v>
      </c>
      <c r="B90" s="299" t="s">
        <v>228</v>
      </c>
      <c r="C90" s="93">
        <f>10822-210</f>
        <v>10612</v>
      </c>
      <c r="D90" s="94"/>
      <c r="E90" s="93">
        <f>39760</f>
        <v>39760</v>
      </c>
      <c r="F90" s="94">
        <v>39760</v>
      </c>
      <c r="G90" s="283">
        <v>39760</v>
      </c>
    </row>
    <row r="91" spans="1:7" ht="12.75">
      <c r="A91" s="306" t="s">
        <v>229</v>
      </c>
      <c r="B91" s="319" t="s">
        <v>230</v>
      </c>
      <c r="C91" s="92"/>
      <c r="D91" s="94">
        <v>61221</v>
      </c>
      <c r="E91" s="93"/>
      <c r="F91" s="94"/>
      <c r="G91" s="283"/>
    </row>
    <row r="92" spans="1:7" ht="12.75">
      <c r="A92" s="306" t="s">
        <v>231</v>
      </c>
      <c r="B92" s="319" t="s">
        <v>232</v>
      </c>
      <c r="C92" s="92"/>
      <c r="D92" s="94"/>
      <c r="E92" s="93"/>
      <c r="F92" s="94"/>
      <c r="G92" s="283"/>
    </row>
    <row r="93" spans="1:7" ht="12.75">
      <c r="A93" s="306" t="s">
        <v>233</v>
      </c>
      <c r="B93" s="319"/>
      <c r="C93" s="92"/>
      <c r="D93" s="94"/>
      <c r="E93" s="93"/>
      <c r="F93" s="94"/>
      <c r="G93" s="283"/>
    </row>
    <row r="94" spans="1:7" ht="12.75">
      <c r="A94" s="306" t="s">
        <v>234</v>
      </c>
      <c r="B94" s="298" t="s">
        <v>235</v>
      </c>
      <c r="C94" s="91">
        <f>C95+C96+C98</f>
        <v>0</v>
      </c>
      <c r="D94" s="92">
        <f>D95+D96+D98</f>
        <v>0</v>
      </c>
      <c r="E94" s="91">
        <f>E95+E96+E98</f>
        <v>5000</v>
      </c>
      <c r="F94" s="92">
        <f>SUM(F95:F97)</f>
        <v>720102</v>
      </c>
      <c r="G94" s="282">
        <f>SUM(G95:G97)</f>
        <v>720102</v>
      </c>
    </row>
    <row r="95" spans="1:7" ht="12.75">
      <c r="A95" s="306" t="s">
        <v>236</v>
      </c>
      <c r="B95" s="299" t="s">
        <v>237</v>
      </c>
      <c r="C95" s="93"/>
      <c r="D95" s="94"/>
      <c r="E95" s="93"/>
      <c r="F95" s="94"/>
      <c r="G95" s="283"/>
    </row>
    <row r="96" spans="1:7" ht="12.75">
      <c r="A96" s="306" t="s">
        <v>238</v>
      </c>
      <c r="B96" s="299" t="s">
        <v>239</v>
      </c>
      <c r="C96" s="93"/>
      <c r="D96" s="94"/>
      <c r="E96" s="93">
        <v>5000</v>
      </c>
      <c r="F96" s="94">
        <v>5000</v>
      </c>
      <c r="G96" s="283">
        <v>5000</v>
      </c>
    </row>
    <row r="97" spans="1:7" ht="12.75">
      <c r="A97" s="306" t="s">
        <v>240</v>
      </c>
      <c r="B97" s="299" t="s">
        <v>241</v>
      </c>
      <c r="C97" s="93"/>
      <c r="D97" s="94"/>
      <c r="E97" s="93"/>
      <c r="F97" s="94">
        <f>719594-4492</f>
        <v>715102</v>
      </c>
      <c r="G97" s="283">
        <f>719594-4492</f>
        <v>715102</v>
      </c>
    </row>
    <row r="98" spans="1:7" ht="13.5" thickBot="1">
      <c r="A98" s="306" t="s">
        <v>242</v>
      </c>
      <c r="B98" s="300" t="s">
        <v>243</v>
      </c>
      <c r="C98" s="106"/>
      <c r="D98" s="105"/>
      <c r="E98" s="106"/>
      <c r="F98" s="105"/>
      <c r="G98" s="314"/>
    </row>
    <row r="99" spans="1:7" ht="18.75" customHeight="1" thickBot="1">
      <c r="A99" s="306" t="s">
        <v>244</v>
      </c>
      <c r="B99" s="275" t="s">
        <v>245</v>
      </c>
      <c r="C99" s="337">
        <f>SUM(C65+C84+C94+C98)</f>
        <v>8672479</v>
      </c>
      <c r="D99" s="337">
        <f>SUM(D65+D84+D94+D98)</f>
        <v>9109716</v>
      </c>
      <c r="E99" s="338">
        <f>SUM(E65+E84+E94+E98)</f>
        <v>10275095</v>
      </c>
      <c r="F99" s="337">
        <f>SUM(F65+F84+F94+F98)</f>
        <v>12293446</v>
      </c>
      <c r="G99" s="339">
        <f>SUM(G65+G84+G94+G98)</f>
        <v>12385684</v>
      </c>
    </row>
    <row r="100" spans="1:7" ht="12.75">
      <c r="A100" s="306" t="s">
        <v>246</v>
      </c>
      <c r="B100" s="302" t="s">
        <v>247</v>
      </c>
      <c r="C100" s="97">
        <f>SUM(C101:C104)</f>
        <v>179859</v>
      </c>
      <c r="D100" s="98">
        <f>SUM(D101:D104)</f>
        <v>141194</v>
      </c>
      <c r="E100" s="97">
        <f>SUM(E101:E104)</f>
        <v>618410</v>
      </c>
      <c r="F100" s="98">
        <f>SUM(F101:F104)</f>
        <v>618410</v>
      </c>
      <c r="G100" s="285">
        <f>SUM(G101:G104)</f>
        <v>618410</v>
      </c>
    </row>
    <row r="101" spans="1:7" ht="12.75">
      <c r="A101" s="306" t="s">
        <v>248</v>
      </c>
      <c r="B101" s="299" t="s">
        <v>249</v>
      </c>
      <c r="C101" s="94">
        <f>167499+12360</f>
        <v>179859</v>
      </c>
      <c r="D101" s="94">
        <v>90861</v>
      </c>
      <c r="E101" s="93">
        <f>90187+2009</f>
        <v>92196</v>
      </c>
      <c r="F101" s="94">
        <v>92196</v>
      </c>
      <c r="G101" s="283">
        <v>92196</v>
      </c>
    </row>
    <row r="102" spans="1:7" ht="12.75">
      <c r="A102" s="306" t="s">
        <v>250</v>
      </c>
      <c r="B102" s="299" t="s">
        <v>251</v>
      </c>
      <c r="C102" s="92"/>
      <c r="D102" s="94">
        <v>6363</v>
      </c>
      <c r="E102" s="93">
        <f>163637</f>
        <v>163637</v>
      </c>
      <c r="F102" s="94">
        <f>163637</f>
        <v>163637</v>
      </c>
      <c r="G102" s="283">
        <f>163637</f>
        <v>163637</v>
      </c>
    </row>
    <row r="103" spans="1:7" ht="12.75">
      <c r="A103" s="306" t="s">
        <v>252</v>
      </c>
      <c r="B103" s="320" t="s">
        <v>253</v>
      </c>
      <c r="C103" s="106"/>
      <c r="D103" s="105">
        <v>43970</v>
      </c>
      <c r="E103" s="106">
        <f>222577+140000</f>
        <v>362577</v>
      </c>
      <c r="F103" s="105">
        <f>222577+140000</f>
        <v>362577</v>
      </c>
      <c r="G103" s="314">
        <f>222577+140000</f>
        <v>362577</v>
      </c>
    </row>
    <row r="104" spans="1:7" ht="12.75" customHeight="1">
      <c r="A104" s="306" t="s">
        <v>254</v>
      </c>
      <c r="B104" s="321" t="s">
        <v>255</v>
      </c>
      <c r="C104" s="92"/>
      <c r="D104" s="94"/>
      <c r="E104" s="93"/>
      <c r="F104" s="94"/>
      <c r="G104" s="283"/>
    </row>
    <row r="105" spans="1:7" ht="12.75">
      <c r="A105" s="306" t="s">
        <v>256</v>
      </c>
      <c r="B105" s="319" t="s">
        <v>257</v>
      </c>
      <c r="C105" s="94"/>
      <c r="D105" s="94"/>
      <c r="E105" s="93"/>
      <c r="F105" s="94"/>
      <c r="G105" s="283"/>
    </row>
    <row r="106" spans="1:7" ht="12.75">
      <c r="A106" s="306" t="s">
        <v>258</v>
      </c>
      <c r="B106" s="319" t="s">
        <v>259</v>
      </c>
      <c r="C106" s="92"/>
      <c r="D106" s="94"/>
      <c r="E106" s="93"/>
      <c r="F106" s="94"/>
      <c r="G106" s="283"/>
    </row>
    <row r="107" spans="1:7" ht="13.5" thickBot="1">
      <c r="A107" s="306" t="s">
        <v>260</v>
      </c>
      <c r="B107" s="300" t="s">
        <v>261</v>
      </c>
      <c r="C107" s="108">
        <v>-1368</v>
      </c>
      <c r="D107" s="331">
        <v>-128021</v>
      </c>
      <c r="E107" s="332"/>
      <c r="F107" s="108"/>
      <c r="G107" s="284"/>
    </row>
    <row r="108" spans="1:7" ht="18.75" customHeight="1" thickBot="1">
      <c r="A108" s="306" t="s">
        <v>262</v>
      </c>
      <c r="B108" s="333" t="s">
        <v>263</v>
      </c>
      <c r="C108" s="334">
        <f>SUM(C100+C104+C107)</f>
        <v>178491</v>
      </c>
      <c r="D108" s="334">
        <f>SUM(D100+D104+D107)</f>
        <v>13173</v>
      </c>
      <c r="E108" s="335">
        <f>SUM(E100+E104+E107)</f>
        <v>618410</v>
      </c>
      <c r="F108" s="334">
        <f>SUM(F100+F104+F107)</f>
        <v>618410</v>
      </c>
      <c r="G108" s="336">
        <f>SUM(G100+G104+G107)</f>
        <v>618410</v>
      </c>
    </row>
    <row r="109" spans="1:7" ht="18.75" customHeight="1" thickBot="1">
      <c r="A109" s="326" t="s">
        <v>264</v>
      </c>
      <c r="B109" s="322" t="s">
        <v>265</v>
      </c>
      <c r="C109" s="279">
        <f>SUM(C99+C108)</f>
        <v>8850970</v>
      </c>
      <c r="D109" s="280">
        <f>SUM(D99+D108)</f>
        <v>9122889</v>
      </c>
      <c r="E109" s="279">
        <f>SUM(E99+E108)</f>
        <v>10893505</v>
      </c>
      <c r="F109" s="280">
        <f>SUM(F99+F108)</f>
        <v>12911856</v>
      </c>
      <c r="G109" s="281">
        <f>SUM(G99+G108)</f>
        <v>13004094</v>
      </c>
    </row>
    <row r="110" spans="1:7" ht="13.5" thickBot="1">
      <c r="A110" s="326" t="s">
        <v>266</v>
      </c>
      <c r="B110" s="323"/>
      <c r="C110" s="110"/>
      <c r="D110" s="111"/>
      <c r="E110" s="308"/>
      <c r="F110" s="111"/>
      <c r="G110" s="315"/>
    </row>
    <row r="111" spans="1:7" ht="18.75" customHeight="1" thickBot="1">
      <c r="A111" s="326" t="s">
        <v>267</v>
      </c>
      <c r="B111" s="324" t="s">
        <v>268</v>
      </c>
      <c r="C111" s="309">
        <f>SUM(C42-C99)</f>
        <v>462749</v>
      </c>
      <c r="D111" s="309">
        <f>SUM(D42+D43-D99)</f>
        <v>1142403</v>
      </c>
      <c r="E111" s="310">
        <f>SUM(E42-E99)</f>
        <v>-459181</v>
      </c>
      <c r="F111" s="310">
        <f>SUM(F42-F99)</f>
        <v>-1959896</v>
      </c>
      <c r="G111" s="311">
        <f>SUM(G42-G99)</f>
        <v>-1963398</v>
      </c>
    </row>
    <row r="112" spans="1:7" ht="18.75" customHeight="1" thickBot="1">
      <c r="A112" s="307" t="s">
        <v>269</v>
      </c>
      <c r="B112" s="325" t="s">
        <v>270</v>
      </c>
      <c r="C112" s="316">
        <f>SUM(C58-C108)</f>
        <v>969732</v>
      </c>
      <c r="D112" s="316">
        <f>SUM(D58-D108)</f>
        <v>109902</v>
      </c>
      <c r="E112" s="317">
        <f>SUM(E58-E108)</f>
        <v>-7459</v>
      </c>
      <c r="F112" s="317">
        <f>SUM(F58-F108)</f>
        <v>43918</v>
      </c>
      <c r="G112" s="318">
        <f>SUM(G58-G108)</f>
        <v>47420</v>
      </c>
    </row>
  </sheetData>
  <mergeCells count="2">
    <mergeCell ref="A1:E1"/>
    <mergeCell ref="A61:E61"/>
  </mergeCells>
  <printOptions horizontalCentered="1" verticalCentered="1"/>
  <pageMargins left="0.39375" right="0.39375" top="0.773611111111111" bottom="0.4722222222222222" header="0.39375" footer="0.5118055555555555"/>
  <pageSetup horizontalDpi="300" verticalDpi="300" orientation="portrait" scale="95" r:id="rId1"/>
  <headerFooter alignWithMargins="0">
    <oddHeader xml:space="preserve">&amp;L&amp;8  1. melléklet a …/…..(….) önkormányzati rendelethez&amp;C&amp;"Arial CE,Félkövér"&amp;11
 2011. évi költségvetés pénzügyi mérlege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9"/>
  <dimension ref="A4:P26"/>
  <sheetViews>
    <sheetView tabSelected="1" workbookViewId="0" topLeftCell="A4">
      <pane xSplit="11" topLeftCell="L1" activePane="topRight" state="frozen"/>
      <selection pane="topLeft" activeCell="J21" sqref="J21"/>
      <selection pane="topRight" activeCell="B33" sqref="B33"/>
    </sheetView>
  </sheetViews>
  <sheetFormatPr defaultColWidth="9.00390625" defaultRowHeight="12.75"/>
  <cols>
    <col min="1" max="1" width="3.875" style="198" customWidth="1"/>
    <col min="2" max="2" width="24.875" style="198" customWidth="1"/>
    <col min="3" max="3" width="9.25390625" style="198" customWidth="1"/>
    <col min="4" max="14" width="9.125" style="198" customWidth="1"/>
    <col min="15" max="15" width="10.125" style="198" customWidth="1"/>
    <col min="16" max="16" width="0" style="198" hidden="1" customWidth="1"/>
    <col min="17" max="16384" width="9.125" style="198" customWidth="1"/>
  </cols>
  <sheetData>
    <row r="3" ht="13.5" thickBot="1"/>
    <row r="4" spans="1:15" ht="13.5" thickBot="1">
      <c r="A4" s="419"/>
      <c r="B4" s="492" t="s">
        <v>2</v>
      </c>
      <c r="C4" s="493" t="s">
        <v>88</v>
      </c>
      <c r="D4" s="493" t="s">
        <v>4</v>
      </c>
      <c r="E4" s="493" t="s">
        <v>5</v>
      </c>
      <c r="F4" s="493" t="s">
        <v>6</v>
      </c>
      <c r="G4" s="493" t="s">
        <v>7</v>
      </c>
      <c r="H4" s="493" t="s">
        <v>8</v>
      </c>
      <c r="I4" s="493" t="s">
        <v>9</v>
      </c>
      <c r="J4" s="493" t="s">
        <v>10</v>
      </c>
      <c r="K4" s="493" t="s">
        <v>11</v>
      </c>
      <c r="L4" s="493" t="s">
        <v>12</v>
      </c>
      <c r="M4" s="493" t="s">
        <v>13</v>
      </c>
      <c r="N4" s="493" t="s">
        <v>14</v>
      </c>
      <c r="O4" s="494" t="s">
        <v>347</v>
      </c>
    </row>
    <row r="5" spans="1:15" ht="24.75" customHeight="1" thickBot="1">
      <c r="A5" s="486"/>
      <c r="B5" s="489" t="s">
        <v>16</v>
      </c>
      <c r="C5" s="490" t="s">
        <v>521</v>
      </c>
      <c r="D5" s="490" t="s">
        <v>522</v>
      </c>
      <c r="E5" s="490" t="s">
        <v>535</v>
      </c>
      <c r="F5" s="490" t="s">
        <v>524</v>
      </c>
      <c r="G5" s="490" t="s">
        <v>536</v>
      </c>
      <c r="H5" s="490" t="s">
        <v>526</v>
      </c>
      <c r="I5" s="490" t="s">
        <v>527</v>
      </c>
      <c r="J5" s="490" t="s">
        <v>537</v>
      </c>
      <c r="K5" s="490" t="s">
        <v>538</v>
      </c>
      <c r="L5" s="490" t="s">
        <v>539</v>
      </c>
      <c r="M5" s="490" t="s">
        <v>540</v>
      </c>
      <c r="N5" s="490" t="s">
        <v>541</v>
      </c>
      <c r="O5" s="491" t="s">
        <v>58</v>
      </c>
    </row>
    <row r="6" spans="1:15" ht="12.75">
      <c r="A6" s="487" t="s">
        <v>542</v>
      </c>
      <c r="B6" s="266" t="s">
        <v>543</v>
      </c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495"/>
    </row>
    <row r="7" spans="1:16" ht="12.75">
      <c r="A7" s="487" t="s">
        <v>30</v>
      </c>
      <c r="B7" s="268" t="s">
        <v>544</v>
      </c>
      <c r="C7" s="269">
        <v>100000</v>
      </c>
      <c r="D7" s="269">
        <v>100000</v>
      </c>
      <c r="E7" s="269">
        <v>350000</v>
      </c>
      <c r="F7" s="269">
        <v>100000</v>
      </c>
      <c r="G7" s="269">
        <v>100000</v>
      </c>
      <c r="H7" s="269">
        <v>100000</v>
      </c>
      <c r="I7" s="269">
        <f>100000-742-1</f>
        <v>99257</v>
      </c>
      <c r="J7" s="269">
        <v>100000</v>
      </c>
      <c r="K7" s="269">
        <v>350000</v>
      </c>
      <c r="L7" s="269">
        <v>100000</v>
      </c>
      <c r="M7" s="269">
        <f>100000+4067</f>
        <v>104067</v>
      </c>
      <c r="N7" s="269">
        <v>116234</v>
      </c>
      <c r="O7" s="496">
        <f aca="true" t="shared" si="0" ref="O7:O25">SUM(C7:N7)</f>
        <v>1719558</v>
      </c>
      <c r="P7" s="209" t="e">
        <f>#REF!</f>
        <v>#REF!</v>
      </c>
    </row>
    <row r="8" spans="1:16" ht="12.75">
      <c r="A8" s="487" t="s">
        <v>32</v>
      </c>
      <c r="B8" s="268" t="s">
        <v>545</v>
      </c>
      <c r="C8" s="269">
        <f>158922+32000</f>
        <v>190922</v>
      </c>
      <c r="D8" s="269">
        <f>158923+32000</f>
        <v>190923</v>
      </c>
      <c r="E8" s="269">
        <f>158922+32000</f>
        <v>190922</v>
      </c>
      <c r="F8" s="269">
        <f>158923+32000</f>
        <v>190923</v>
      </c>
      <c r="G8" s="269">
        <f>158922+32000</f>
        <v>190922</v>
      </c>
      <c r="H8" s="270">
        <f>158923+53500+5793+32000+1100</f>
        <v>251316</v>
      </c>
      <c r="I8" s="269">
        <f>158922+137332-8724-580+2817</f>
        <v>289767</v>
      </c>
      <c r="J8" s="271">
        <v>158923</v>
      </c>
      <c r="K8" s="271">
        <f>158923+250</f>
        <v>159173</v>
      </c>
      <c r="L8" s="271">
        <v>158923</v>
      </c>
      <c r="M8" s="269">
        <f>158923+17905</f>
        <v>176828</v>
      </c>
      <c r="N8" s="271">
        <v>158923</v>
      </c>
      <c r="O8" s="496">
        <f t="shared" si="0"/>
        <v>2308465</v>
      </c>
      <c r="P8" s="209" t="e">
        <f>#REF!</f>
        <v>#REF!</v>
      </c>
    </row>
    <row r="9" spans="1:16" ht="12.75">
      <c r="A9" s="487" t="s">
        <v>34</v>
      </c>
      <c r="B9" s="268" t="s">
        <v>546</v>
      </c>
      <c r="C9" s="269">
        <v>36725</v>
      </c>
      <c r="D9" s="269">
        <v>36725</v>
      </c>
      <c r="E9" s="269">
        <v>36726</v>
      </c>
      <c r="F9" s="269">
        <v>36726</v>
      </c>
      <c r="G9" s="269">
        <v>36726</v>
      </c>
      <c r="H9" s="269">
        <f>36726+1050</f>
        <v>37776</v>
      </c>
      <c r="I9" s="269">
        <v>36726</v>
      </c>
      <c r="J9" s="269">
        <v>36726</v>
      </c>
      <c r="K9" s="269">
        <f>36726+10000</f>
        <v>46726</v>
      </c>
      <c r="L9" s="269">
        <v>36726</v>
      </c>
      <c r="M9" s="269">
        <v>36726</v>
      </c>
      <c r="N9" s="269">
        <f>36726+41238</f>
        <v>77964</v>
      </c>
      <c r="O9" s="496">
        <f t="shared" si="0"/>
        <v>492998</v>
      </c>
      <c r="P9" s="209" t="e">
        <f>#REF!</f>
        <v>#REF!</v>
      </c>
    </row>
    <row r="10" spans="1:16" ht="12.75">
      <c r="A10" s="487" t="s">
        <v>36</v>
      </c>
      <c r="B10" s="268" t="s">
        <v>547</v>
      </c>
      <c r="C10" s="269">
        <f>348413-22000</f>
        <v>326413</v>
      </c>
      <c r="D10" s="269">
        <f>348414-22000</f>
        <v>326414</v>
      </c>
      <c r="E10" s="269">
        <f>348414-22000</f>
        <v>326414</v>
      </c>
      <c r="F10" s="269">
        <f>348414-22000</f>
        <v>326414</v>
      </c>
      <c r="G10" s="269">
        <f>348414+22002-22000</f>
        <v>348416</v>
      </c>
      <c r="H10" s="269">
        <f>348414+250+4500+17317+42000-1100-22000</f>
        <v>389381</v>
      </c>
      <c r="I10" s="269">
        <f>348413-2466+20000</f>
        <v>365947</v>
      </c>
      <c r="J10" s="269">
        <f>348414+20000</f>
        <v>368414</v>
      </c>
      <c r="K10" s="269">
        <f>348414+20000+17966-433</f>
        <v>385947</v>
      </c>
      <c r="L10" s="269">
        <f>348414+22654</f>
        <v>371068</v>
      </c>
      <c r="M10" s="269">
        <f>348414+4927</f>
        <v>353341</v>
      </c>
      <c r="N10" s="269">
        <v>348413</v>
      </c>
      <c r="O10" s="496">
        <f t="shared" si="0"/>
        <v>4236582</v>
      </c>
      <c r="P10" s="209" t="e">
        <f>#REF!</f>
        <v>#REF!</v>
      </c>
    </row>
    <row r="11" spans="1:16" ht="12.75">
      <c r="A11" s="487" t="s">
        <v>38</v>
      </c>
      <c r="B11" s="268" t="s">
        <v>548</v>
      </c>
      <c r="C11" s="269">
        <f>129757+2403+20000</f>
        <v>152160</v>
      </c>
      <c r="D11" s="269">
        <v>129757</v>
      </c>
      <c r="E11" s="269">
        <f>129758+20000</f>
        <v>149758</v>
      </c>
      <c r="F11" s="269">
        <f>129757+9003</f>
        <v>138760</v>
      </c>
      <c r="G11" s="269">
        <f>129757+4037+14235</f>
        <v>148029</v>
      </c>
      <c r="H11" s="269">
        <f>129758-42000</f>
        <v>87758</v>
      </c>
      <c r="I11" s="269">
        <f>129757+5340-1568</f>
        <v>133529</v>
      </c>
      <c r="J11" s="269">
        <f>129757+178</f>
        <v>129935</v>
      </c>
      <c r="K11" s="269">
        <f>129758+178</f>
        <v>129936</v>
      </c>
      <c r="L11" s="269">
        <f>129757+178</f>
        <v>129935</v>
      </c>
      <c r="M11" s="269">
        <f>129757+178+16837+3762</f>
        <v>150534</v>
      </c>
      <c r="N11" s="269">
        <f>129758+45034</f>
        <v>174792</v>
      </c>
      <c r="O11" s="496">
        <f t="shared" si="0"/>
        <v>1654883</v>
      </c>
      <c r="P11" s="209" t="e">
        <f>#REF!</f>
        <v>#REF!</v>
      </c>
    </row>
    <row r="12" spans="1:16" ht="12.75">
      <c r="A12" s="487" t="s">
        <v>40</v>
      </c>
      <c r="B12" s="268" t="s">
        <v>334</v>
      </c>
      <c r="C12" s="269">
        <v>816</v>
      </c>
      <c r="D12" s="269">
        <v>816</v>
      </c>
      <c r="E12" s="269">
        <v>816</v>
      </c>
      <c r="F12" s="269">
        <v>817</v>
      </c>
      <c r="G12" s="269">
        <v>817</v>
      </c>
      <c r="H12" s="269">
        <v>817</v>
      </c>
      <c r="I12" s="269">
        <v>817</v>
      </c>
      <c r="J12" s="269">
        <v>817</v>
      </c>
      <c r="K12" s="269">
        <v>817</v>
      </c>
      <c r="L12" s="269">
        <v>817</v>
      </c>
      <c r="M12" s="269">
        <v>817</v>
      </c>
      <c r="N12" s="269">
        <v>816</v>
      </c>
      <c r="O12" s="496">
        <f t="shared" si="0"/>
        <v>9800</v>
      </c>
      <c r="P12" s="209" t="e">
        <f>#REF!</f>
        <v>#REF!</v>
      </c>
    </row>
    <row r="13" spans="1:16" ht="12.75">
      <c r="A13" s="487" t="s">
        <v>42</v>
      </c>
      <c r="B13" s="268" t="s">
        <v>549</v>
      </c>
      <c r="C13" s="269">
        <f>8411+140000</f>
        <v>148411</v>
      </c>
      <c r="D13" s="269">
        <f aca="true" t="shared" si="1" ref="D13:M13">20000+140000</f>
        <v>160000</v>
      </c>
      <c r="E13" s="269">
        <f t="shared" si="1"/>
        <v>160000</v>
      </c>
      <c r="F13" s="269">
        <f t="shared" si="1"/>
        <v>160000</v>
      </c>
      <c r="G13" s="269">
        <f t="shared" si="1"/>
        <v>160000</v>
      </c>
      <c r="H13" s="269">
        <f t="shared" si="1"/>
        <v>160000</v>
      </c>
      <c r="I13" s="269">
        <f t="shared" si="1"/>
        <v>160000</v>
      </c>
      <c r="J13" s="269">
        <f t="shared" si="1"/>
        <v>160000</v>
      </c>
      <c r="K13" s="269">
        <f t="shared" si="1"/>
        <v>160000</v>
      </c>
      <c r="L13" s="269">
        <f t="shared" si="1"/>
        <v>160000</v>
      </c>
      <c r="M13" s="269">
        <f t="shared" si="1"/>
        <v>160000</v>
      </c>
      <c r="N13" s="269">
        <f>20000+147567</f>
        <v>167567</v>
      </c>
      <c r="O13" s="496">
        <f t="shared" si="0"/>
        <v>1915978</v>
      </c>
      <c r="P13" s="209" t="e">
        <f>#REF!</f>
        <v>#REF!</v>
      </c>
    </row>
    <row r="14" spans="1:16" ht="12.75">
      <c r="A14" s="487" t="s">
        <v>44</v>
      </c>
      <c r="B14" s="268" t="s">
        <v>550</v>
      </c>
      <c r="C14" s="271">
        <f>50912+15000-20000-8000</f>
        <v>37912</v>
      </c>
      <c r="D14" s="269">
        <f>50913+15000-8000</f>
        <v>57913</v>
      </c>
      <c r="E14" s="271">
        <f>50912+15000-20000-8000</f>
        <v>37912</v>
      </c>
      <c r="F14" s="269">
        <f>50913+15000-9003-8000</f>
        <v>48910</v>
      </c>
      <c r="G14" s="271">
        <f>50912+15000-8000</f>
        <v>57912</v>
      </c>
      <c r="H14" s="269">
        <f>50913+15000-15616+22000-9943</f>
        <v>62354</v>
      </c>
      <c r="I14" s="271">
        <f>50912+15000-10000</f>
        <v>55912</v>
      </c>
      <c r="J14" s="269">
        <f>50913+15000-10000</f>
        <v>55913</v>
      </c>
      <c r="K14" s="269">
        <f>50913+15000-16061</f>
        <v>49852</v>
      </c>
      <c r="L14" s="269">
        <f>50913+15000</f>
        <v>65913</v>
      </c>
      <c r="M14" s="271">
        <f>50912+15000+3502</f>
        <v>69414</v>
      </c>
      <c r="N14" s="269">
        <f>50913+15000</f>
        <v>65913</v>
      </c>
      <c r="O14" s="496">
        <f t="shared" si="0"/>
        <v>665830</v>
      </c>
      <c r="P14" s="209" t="e">
        <f>#REF!</f>
        <v>#REF!</v>
      </c>
    </row>
    <row r="15" spans="1:15" ht="13.5" thickBot="1">
      <c r="A15" s="487" t="s">
        <v>46</v>
      </c>
      <c r="B15" s="272" t="s">
        <v>551</v>
      </c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497">
        <f t="shared" si="0"/>
        <v>0</v>
      </c>
    </row>
    <row r="16" spans="1:16" ht="18" customHeight="1" thickBot="1">
      <c r="A16" s="487" t="s">
        <v>48</v>
      </c>
      <c r="B16" s="485" t="s">
        <v>552</v>
      </c>
      <c r="C16" s="483">
        <f aca="true" t="shared" si="2" ref="C16:N16">SUM(C7:C15)</f>
        <v>993359</v>
      </c>
      <c r="D16" s="483">
        <f t="shared" si="2"/>
        <v>1002548</v>
      </c>
      <c r="E16" s="483">
        <f t="shared" si="2"/>
        <v>1252548</v>
      </c>
      <c r="F16" s="483">
        <f t="shared" si="2"/>
        <v>1002550</v>
      </c>
      <c r="G16" s="483">
        <f t="shared" si="2"/>
        <v>1042822</v>
      </c>
      <c r="H16" s="483">
        <f t="shared" si="2"/>
        <v>1089402</v>
      </c>
      <c r="I16" s="483">
        <f t="shared" si="2"/>
        <v>1141955</v>
      </c>
      <c r="J16" s="483">
        <f t="shared" si="2"/>
        <v>1010728</v>
      </c>
      <c r="K16" s="483">
        <f t="shared" si="2"/>
        <v>1282451</v>
      </c>
      <c r="L16" s="483">
        <f t="shared" si="2"/>
        <v>1023382</v>
      </c>
      <c r="M16" s="483">
        <f t="shared" si="2"/>
        <v>1051727</v>
      </c>
      <c r="N16" s="483">
        <f t="shared" si="2"/>
        <v>1110622</v>
      </c>
      <c r="O16" s="484">
        <f t="shared" si="0"/>
        <v>13004094</v>
      </c>
      <c r="P16" s="209" t="e">
        <f>SUM(P7:P15)</f>
        <v>#REF!</v>
      </c>
    </row>
    <row r="17" spans="1:15" ht="12.75">
      <c r="A17" s="487" t="s">
        <v>50</v>
      </c>
      <c r="B17" s="266" t="s">
        <v>553</v>
      </c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498">
        <f t="shared" si="0"/>
        <v>0</v>
      </c>
    </row>
    <row r="18" spans="1:16" ht="12.75">
      <c r="A18" s="487" t="s">
        <v>52</v>
      </c>
      <c r="B18" s="268" t="s">
        <v>554</v>
      </c>
      <c r="C18" s="269">
        <v>335284</v>
      </c>
      <c r="D18" s="269">
        <v>335284</v>
      </c>
      <c r="E18" s="269">
        <v>335284</v>
      </c>
      <c r="F18" s="269">
        <v>335284</v>
      </c>
      <c r="G18" s="269">
        <v>335284</v>
      </c>
      <c r="H18" s="269">
        <f>335284+10000</f>
        <v>345284</v>
      </c>
      <c r="I18" s="269">
        <f>335280+10000+33000</f>
        <v>378280</v>
      </c>
      <c r="J18" s="269">
        <f>335284+6112+33000</f>
        <v>374396</v>
      </c>
      <c r="K18" s="269">
        <f>335284+33665</f>
        <v>368949</v>
      </c>
      <c r="L18" s="269">
        <v>335284</v>
      </c>
      <c r="M18" s="269">
        <f>335284+9139</f>
        <v>344423</v>
      </c>
      <c r="N18" s="269">
        <v>335284</v>
      </c>
      <c r="O18" s="496">
        <f t="shared" si="0"/>
        <v>4158320</v>
      </c>
      <c r="P18" s="209" t="e">
        <f>#REF!</f>
        <v>#REF!</v>
      </c>
    </row>
    <row r="19" spans="1:16" ht="12.75">
      <c r="A19" s="487" t="s">
        <v>54</v>
      </c>
      <c r="B19" s="268" t="s">
        <v>363</v>
      </c>
      <c r="C19" s="269">
        <v>91101</v>
      </c>
      <c r="D19" s="269">
        <v>91101</v>
      </c>
      <c r="E19" s="269">
        <v>91101</v>
      </c>
      <c r="F19" s="269">
        <v>91101</v>
      </c>
      <c r="G19" s="269">
        <v>91101</v>
      </c>
      <c r="H19" s="269">
        <f>91101+2000</f>
        <v>93101</v>
      </c>
      <c r="I19" s="269">
        <f>91100+2000+6000</f>
        <v>99100</v>
      </c>
      <c r="J19" s="269">
        <f>91101+1252+6000</f>
        <v>98353</v>
      </c>
      <c r="K19" s="271">
        <f>91101+8702</f>
        <v>99803</v>
      </c>
      <c r="L19" s="269">
        <v>91101</v>
      </c>
      <c r="M19" s="269">
        <f>91101+1013</f>
        <v>92114</v>
      </c>
      <c r="N19" s="269">
        <v>91101</v>
      </c>
      <c r="O19" s="496">
        <f t="shared" si="0"/>
        <v>1120178</v>
      </c>
      <c r="P19" s="209" t="e">
        <f>#REF!</f>
        <v>#REF!</v>
      </c>
    </row>
    <row r="20" spans="1:16" ht="12.75">
      <c r="A20" s="487" t="s">
        <v>56</v>
      </c>
      <c r="B20" s="268" t="s">
        <v>555</v>
      </c>
      <c r="C20" s="269">
        <f>200000+15000+100000</f>
        <v>315000</v>
      </c>
      <c r="D20" s="269">
        <f>200000+15000+100000</f>
        <v>315000</v>
      </c>
      <c r="E20" s="269">
        <f>365207+15000+100000</f>
        <v>480207</v>
      </c>
      <c r="F20" s="269">
        <f>200000+15000+93803</f>
        <v>308803</v>
      </c>
      <c r="G20" s="269">
        <f>200000+15000</f>
        <v>215000</v>
      </c>
      <c r="H20" s="269">
        <f>200000+15000+160+7528+22000</f>
        <v>244688</v>
      </c>
      <c r="I20" s="269">
        <f>200000+15000+137694-20000</f>
        <v>332694</v>
      </c>
      <c r="J20" s="269">
        <f>200000+15000-20000</f>
        <v>195000</v>
      </c>
      <c r="K20" s="269">
        <f>365207+15000-25737</f>
        <v>354470</v>
      </c>
      <c r="L20" s="269">
        <f>200000+15000</f>
        <v>215000</v>
      </c>
      <c r="M20" s="269">
        <f>200000+15000+10241+69238-20000</f>
        <v>274479</v>
      </c>
      <c r="N20" s="269">
        <f>200000+15000</f>
        <v>215000</v>
      </c>
      <c r="O20" s="496">
        <f t="shared" si="0"/>
        <v>3465341</v>
      </c>
      <c r="P20" s="209" t="e">
        <f>#REF!+#REF!+#REF!+#REF!+#REF!+#REF!</f>
        <v>#REF!</v>
      </c>
    </row>
    <row r="21" spans="1:16" ht="12.75">
      <c r="A21" s="487" t="s">
        <v>57</v>
      </c>
      <c r="B21" s="268" t="s">
        <v>285</v>
      </c>
      <c r="C21" s="269">
        <v>4000</v>
      </c>
      <c r="D21" s="269">
        <v>4000</v>
      </c>
      <c r="E21" s="269">
        <v>4000</v>
      </c>
      <c r="F21" s="269">
        <v>4000</v>
      </c>
      <c r="G21" s="269">
        <f>4000+5490</f>
        <v>9490</v>
      </c>
      <c r="H21" s="269">
        <f>4000+5000</f>
        <v>9000</v>
      </c>
      <c r="I21" s="269">
        <v>1058</v>
      </c>
      <c r="J21" s="269">
        <v>1058</v>
      </c>
      <c r="K21" s="269">
        <v>4000</v>
      </c>
      <c r="L21" s="269">
        <f>4000+7000</f>
        <v>11000</v>
      </c>
      <c r="M21" s="269">
        <f>4000+6913</f>
        <v>10913</v>
      </c>
      <c r="N21" s="269">
        <f>4000+7000</f>
        <v>11000</v>
      </c>
      <c r="O21" s="496">
        <f t="shared" si="0"/>
        <v>73519</v>
      </c>
      <c r="P21" s="209" t="e">
        <f>#REF!</f>
        <v>#REF!</v>
      </c>
    </row>
    <row r="22" spans="1:15" ht="12.75">
      <c r="A22" s="487" t="s">
        <v>62</v>
      </c>
      <c r="B22" s="268" t="s">
        <v>556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496">
        <f t="shared" si="0"/>
        <v>0</v>
      </c>
    </row>
    <row r="23" spans="1:16" ht="12.75">
      <c r="A23" s="487" t="s">
        <v>64</v>
      </c>
      <c r="B23" s="268" t="s">
        <v>557</v>
      </c>
      <c r="C23" s="269">
        <v>178223</v>
      </c>
      <c r="D23" s="269">
        <v>178223</v>
      </c>
      <c r="E23" s="269">
        <v>178223</v>
      </c>
      <c r="F23" s="269">
        <f>178223+50000</f>
        <v>228223</v>
      </c>
      <c r="G23" s="269">
        <f>178223+50000</f>
        <v>228223</v>
      </c>
      <c r="H23" s="269">
        <f>178223+50000</f>
        <v>228223</v>
      </c>
      <c r="I23" s="269">
        <f>178223+50000</f>
        <v>228223</v>
      </c>
      <c r="J23" s="269">
        <f>178223+50000</f>
        <v>228223</v>
      </c>
      <c r="K23" s="269">
        <f>178223+50000+211+22458</f>
        <v>250892</v>
      </c>
      <c r="L23" s="269">
        <f>178223+100000</f>
        <v>278223</v>
      </c>
      <c r="M23" s="269">
        <f>178223+100000+1694</f>
        <v>279917</v>
      </c>
      <c r="N23" s="269">
        <f>178223+185185</f>
        <v>363408</v>
      </c>
      <c r="O23" s="496">
        <f t="shared" si="0"/>
        <v>2848224</v>
      </c>
      <c r="P23" s="209" t="e">
        <f>#REF!</f>
        <v>#REF!</v>
      </c>
    </row>
    <row r="24" spans="1:16" ht="12.75">
      <c r="A24" s="487" t="s">
        <v>67</v>
      </c>
      <c r="B24" s="268" t="s">
        <v>291</v>
      </c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>
        <f>5000+719594-4492</f>
        <v>720102</v>
      </c>
      <c r="O24" s="496">
        <f t="shared" si="0"/>
        <v>720102</v>
      </c>
      <c r="P24" s="209" t="e">
        <f>#REF!</f>
        <v>#REF!</v>
      </c>
    </row>
    <row r="25" spans="1:16" ht="13.5" thickBot="1">
      <c r="A25" s="487" t="s">
        <v>70</v>
      </c>
      <c r="B25" s="272" t="s">
        <v>550</v>
      </c>
      <c r="C25" s="273">
        <v>51534</v>
      </c>
      <c r="D25" s="273">
        <v>51534</v>
      </c>
      <c r="E25" s="273">
        <v>51534</v>
      </c>
      <c r="F25" s="273">
        <v>51534</v>
      </c>
      <c r="G25" s="273">
        <v>51534</v>
      </c>
      <c r="H25" s="273">
        <v>51534</v>
      </c>
      <c r="I25" s="273">
        <v>51534</v>
      </c>
      <c r="J25" s="273">
        <v>51534</v>
      </c>
      <c r="K25" s="273">
        <v>51534</v>
      </c>
      <c r="L25" s="273">
        <v>51534</v>
      </c>
      <c r="M25" s="273">
        <v>51535</v>
      </c>
      <c r="N25" s="273">
        <v>51535</v>
      </c>
      <c r="O25" s="497">
        <f t="shared" si="0"/>
        <v>618410</v>
      </c>
      <c r="P25" s="209" t="e">
        <f>#REF!</f>
        <v>#REF!</v>
      </c>
    </row>
    <row r="26" spans="1:16" ht="18" customHeight="1" thickBot="1">
      <c r="A26" s="488" t="s">
        <v>73</v>
      </c>
      <c r="B26" s="485" t="s">
        <v>558</v>
      </c>
      <c r="C26" s="483">
        <f aca="true" t="shared" si="3" ref="C26:P26">SUM(C18:C25)</f>
        <v>975142</v>
      </c>
      <c r="D26" s="483">
        <f t="shared" si="3"/>
        <v>975142</v>
      </c>
      <c r="E26" s="483">
        <f t="shared" si="3"/>
        <v>1140349</v>
      </c>
      <c r="F26" s="483">
        <f t="shared" si="3"/>
        <v>1018945</v>
      </c>
      <c r="G26" s="483">
        <f t="shared" si="3"/>
        <v>930632</v>
      </c>
      <c r="H26" s="483">
        <f t="shared" si="3"/>
        <v>971830</v>
      </c>
      <c r="I26" s="483">
        <f t="shared" si="3"/>
        <v>1090889</v>
      </c>
      <c r="J26" s="483">
        <f t="shared" si="3"/>
        <v>948564</v>
      </c>
      <c r="K26" s="483">
        <f t="shared" si="3"/>
        <v>1129648</v>
      </c>
      <c r="L26" s="483">
        <f t="shared" si="3"/>
        <v>982142</v>
      </c>
      <c r="M26" s="483">
        <f t="shared" si="3"/>
        <v>1053381</v>
      </c>
      <c r="N26" s="483">
        <f t="shared" si="3"/>
        <v>1787430</v>
      </c>
      <c r="O26" s="484">
        <f t="shared" si="3"/>
        <v>13004094</v>
      </c>
      <c r="P26" s="209" t="e">
        <f t="shared" si="3"/>
        <v>#REF!</v>
      </c>
    </row>
  </sheetData>
  <printOptions horizontalCentered="1"/>
  <pageMargins left="0.19652777777777777" right="0.19652777777777777" top="0.9840277777777777" bottom="0.9840277777777777" header="0.5118055555555555" footer="0.5118055555555555"/>
  <pageSetup horizontalDpi="300" verticalDpi="300" orientation="landscape" paperSize="9" scale="90" r:id="rId1"/>
  <headerFooter alignWithMargins="0">
    <oddHeader>&amp;L&amp;8 10. melléklet a .../.....(......)önkormányzati rendelethez&amp;C&amp;"Arial,Félkövér"&amp;12Előirányzat felhasználási ütemterv&amp;Radatok ezer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1"/>
  <sheetViews>
    <sheetView workbookViewId="0" topLeftCell="A1">
      <pane xSplit="2" ySplit="4" topLeftCell="C17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H9" sqref="H9"/>
    </sheetView>
  </sheetViews>
  <sheetFormatPr defaultColWidth="9.00390625" defaultRowHeight="12.75"/>
  <cols>
    <col min="1" max="1" width="3.25390625" style="112" customWidth="1"/>
    <col min="2" max="2" width="28.375" style="112" customWidth="1"/>
    <col min="3" max="3" width="9.625" style="112" customWidth="1"/>
    <col min="4" max="4" width="8.75390625" style="112" customWidth="1"/>
    <col min="5" max="5" width="8.625" style="112" customWidth="1"/>
    <col min="6" max="7" width="9.125" style="112" customWidth="1"/>
    <col min="8" max="8" width="27.875" style="112" customWidth="1"/>
    <col min="9" max="9" width="9.125" style="112" customWidth="1"/>
    <col min="10" max="10" width="9.625" style="112" customWidth="1"/>
    <col min="11" max="11" width="9.25390625" style="112" customWidth="1"/>
    <col min="12" max="16384" width="9.125" style="112" customWidth="1"/>
  </cols>
  <sheetData>
    <row r="2" ht="12.75" customHeight="1" thickBot="1">
      <c r="J2" s="113" t="s">
        <v>87</v>
      </c>
    </row>
    <row r="3" spans="1:13" ht="12.75" customHeight="1" thickBot="1">
      <c r="A3" s="379"/>
      <c r="B3" s="383" t="s">
        <v>2</v>
      </c>
      <c r="C3" s="384" t="s">
        <v>88</v>
      </c>
      <c r="D3" s="384" t="s">
        <v>4</v>
      </c>
      <c r="E3" s="384" t="s">
        <v>5</v>
      </c>
      <c r="F3" s="384" t="s">
        <v>6</v>
      </c>
      <c r="G3" s="384" t="s">
        <v>7</v>
      </c>
      <c r="H3" s="384" t="s">
        <v>8</v>
      </c>
      <c r="I3" s="384" t="s">
        <v>9</v>
      </c>
      <c r="J3" s="384" t="s">
        <v>10</v>
      </c>
      <c r="K3" s="384" t="s">
        <v>11</v>
      </c>
      <c r="L3" s="384" t="s">
        <v>12</v>
      </c>
      <c r="M3" s="385" t="s">
        <v>13</v>
      </c>
    </row>
    <row r="4" spans="1:13" ht="35.25" customHeight="1" thickBot="1">
      <c r="A4" s="380"/>
      <c r="B4" s="371" t="s">
        <v>271</v>
      </c>
      <c r="C4" s="356" t="s">
        <v>90</v>
      </c>
      <c r="D4" s="357" t="s">
        <v>91</v>
      </c>
      <c r="E4" s="356" t="s">
        <v>272</v>
      </c>
      <c r="F4" s="293" t="s">
        <v>93</v>
      </c>
      <c r="G4" s="292" t="s">
        <v>94</v>
      </c>
      <c r="H4" s="358" t="s">
        <v>273</v>
      </c>
      <c r="I4" s="356" t="s">
        <v>90</v>
      </c>
      <c r="J4" s="357" t="s">
        <v>91</v>
      </c>
      <c r="K4" s="356" t="s">
        <v>272</v>
      </c>
      <c r="L4" s="293" t="s">
        <v>93</v>
      </c>
      <c r="M4" s="294" t="s">
        <v>94</v>
      </c>
    </row>
    <row r="5" spans="1:13" ht="12" customHeight="1">
      <c r="A5" s="381" t="s">
        <v>28</v>
      </c>
      <c r="B5" s="372" t="s">
        <v>274</v>
      </c>
      <c r="C5" s="359">
        <f>541570-3939</f>
        <v>537631</v>
      </c>
      <c r="D5" s="359">
        <f>486568+63258-809</f>
        <v>549017</v>
      </c>
      <c r="E5" s="359">
        <v>392367</v>
      </c>
      <c r="F5" s="360">
        <f>392367-1200-1</f>
        <v>391166</v>
      </c>
      <c r="G5" s="360">
        <f>SUM('1.sz.mérleg '!G6:G7)</f>
        <v>395233</v>
      </c>
      <c r="H5" s="361" t="s">
        <v>275</v>
      </c>
      <c r="I5" s="359">
        <v>4191497</v>
      </c>
      <c r="J5" s="359">
        <v>4372934</v>
      </c>
      <c r="K5" s="359">
        <v>4023404</v>
      </c>
      <c r="L5" s="360">
        <f>'1.sz.mérleg '!F72</f>
        <v>4149181</v>
      </c>
      <c r="M5" s="362">
        <f>'1.sz.mérleg '!G72</f>
        <v>4158320</v>
      </c>
    </row>
    <row r="6" spans="1:13" ht="12" customHeight="1">
      <c r="A6" s="381" t="s">
        <v>30</v>
      </c>
      <c r="B6" s="373" t="s">
        <v>276</v>
      </c>
      <c r="C6" s="119">
        <v>1359069</v>
      </c>
      <c r="D6" s="119">
        <v>1477130</v>
      </c>
      <c r="E6" s="119">
        <v>1323867</v>
      </c>
      <c r="F6" s="120">
        <v>1324325</v>
      </c>
      <c r="G6" s="120">
        <v>1324325</v>
      </c>
      <c r="H6" s="118" t="s">
        <v>277</v>
      </c>
      <c r="I6" s="119">
        <v>1224632</v>
      </c>
      <c r="J6" s="119">
        <v>1101429</v>
      </c>
      <c r="K6" s="119">
        <v>1093211</v>
      </c>
      <c r="L6" s="120">
        <f>'1.sz.mérleg '!F73</f>
        <v>1119165</v>
      </c>
      <c r="M6" s="364">
        <f>'1.sz.mérleg '!G73</f>
        <v>1120178</v>
      </c>
    </row>
    <row r="7" spans="1:13" ht="12" customHeight="1">
      <c r="A7" s="381" t="s">
        <v>32</v>
      </c>
      <c r="B7" s="373" t="s">
        <v>278</v>
      </c>
      <c r="C7" s="119">
        <f>2828998-4889-21637</f>
        <v>2802472</v>
      </c>
      <c r="D7" s="119">
        <v>2637136</v>
      </c>
      <c r="E7" s="119">
        <v>1899072</v>
      </c>
      <c r="F7" s="120">
        <f>2279810+39</f>
        <v>2279849</v>
      </c>
      <c r="G7" s="120">
        <f>2279810+39-25549+43454-2000-290-3252</f>
        <v>2292212</v>
      </c>
      <c r="H7" s="118" t="s">
        <v>279</v>
      </c>
      <c r="I7" s="119">
        <f>2401761-33197</f>
        <v>2368564</v>
      </c>
      <c r="J7" s="119">
        <v>2471100</v>
      </c>
      <c r="K7" s="119">
        <v>2222604</v>
      </c>
      <c r="L7" s="120">
        <f>'1.sz.mérleg '!F75</f>
        <v>2865369</v>
      </c>
      <c r="M7" s="364">
        <f>'1.sz.mérleg '!G75</f>
        <v>2875610</v>
      </c>
    </row>
    <row r="8" spans="1:13" ht="12" customHeight="1">
      <c r="A8" s="381" t="s">
        <v>34</v>
      </c>
      <c r="B8" s="373" t="s">
        <v>280</v>
      </c>
      <c r="C8" s="119">
        <v>3881541</v>
      </c>
      <c r="D8" s="119">
        <v>4233894</v>
      </c>
      <c r="E8" s="119">
        <v>4179302</v>
      </c>
      <c r="F8" s="120">
        <f>'1.sz.mérleg '!F33</f>
        <v>4171126</v>
      </c>
      <c r="G8" s="120">
        <f>'1.sz.mérleg '!G33</f>
        <v>4175663</v>
      </c>
      <c r="H8" s="121" t="s">
        <v>281</v>
      </c>
      <c r="I8" s="119">
        <v>17768</v>
      </c>
      <c r="J8" s="122">
        <v>14653</v>
      </c>
      <c r="K8" s="119">
        <v>47000</v>
      </c>
      <c r="L8" s="120">
        <v>47000</v>
      </c>
      <c r="M8" s="364">
        <v>47000</v>
      </c>
    </row>
    <row r="9" spans="1:13" ht="12" customHeight="1">
      <c r="A9" s="381" t="s">
        <v>36</v>
      </c>
      <c r="B9" s="373" t="s">
        <v>282</v>
      </c>
      <c r="C9" s="119">
        <v>193785</v>
      </c>
      <c r="D9" s="119">
        <v>53459</v>
      </c>
      <c r="E9" s="119">
        <v>10000</v>
      </c>
      <c r="F9" s="120">
        <f>'1.sz.mérleg '!F38</f>
        <v>73507</v>
      </c>
      <c r="G9" s="120">
        <f>'1.sz.mérleg '!G38</f>
        <v>90344</v>
      </c>
      <c r="H9" s="118" t="s">
        <v>283</v>
      </c>
      <c r="I9" s="119">
        <v>91110</v>
      </c>
      <c r="J9" s="119">
        <v>121940</v>
      </c>
      <c r="K9" s="119">
        <v>70000</v>
      </c>
      <c r="L9" s="120">
        <v>70575</v>
      </c>
      <c r="M9" s="364">
        <v>70575</v>
      </c>
    </row>
    <row r="10" spans="1:13" ht="12" customHeight="1">
      <c r="A10" s="381" t="s">
        <v>38</v>
      </c>
      <c r="B10" s="373" t="s">
        <v>284</v>
      </c>
      <c r="C10" s="119"/>
      <c r="D10" s="119">
        <v>30000</v>
      </c>
      <c r="E10" s="119"/>
      <c r="F10" s="120"/>
      <c r="G10" s="120"/>
      <c r="H10" s="118" t="s">
        <v>285</v>
      </c>
      <c r="I10" s="119">
        <v>58452</v>
      </c>
      <c r="J10" s="119">
        <v>66801</v>
      </c>
      <c r="K10" s="119">
        <v>42116</v>
      </c>
      <c r="L10" s="120">
        <f>42116+10490</f>
        <v>52606</v>
      </c>
      <c r="M10" s="364">
        <f>'1.sz.mérleg '!G74</f>
        <v>73519</v>
      </c>
    </row>
    <row r="11" spans="1:13" ht="12" customHeight="1">
      <c r="A11" s="381" t="s">
        <v>40</v>
      </c>
      <c r="B11" s="373"/>
      <c r="C11" s="119"/>
      <c r="D11" s="119"/>
      <c r="E11" s="119"/>
      <c r="F11" s="120"/>
      <c r="G11" s="120"/>
      <c r="H11" s="118" t="s">
        <v>286</v>
      </c>
      <c r="I11" s="119">
        <f>154890-128247</f>
        <v>26643</v>
      </c>
      <c r="J11" s="119">
        <v>95089</v>
      </c>
      <c r="K11" s="119">
        <f>3000+500+100+13300</f>
        <v>16900</v>
      </c>
      <c r="L11" s="120">
        <f>3000+500+100+13300+160+2000+2420</f>
        <v>21480</v>
      </c>
      <c r="M11" s="364">
        <f>'1.sz.mérleg '!G78</f>
        <v>90718</v>
      </c>
    </row>
    <row r="12" spans="1:13" ht="12" customHeight="1">
      <c r="A12" s="381" t="s">
        <v>42</v>
      </c>
      <c r="B12" s="373"/>
      <c r="C12" s="119"/>
      <c r="D12" s="119"/>
      <c r="E12" s="119"/>
      <c r="F12" s="120"/>
      <c r="G12" s="120"/>
      <c r="H12" s="118" t="s">
        <v>287</v>
      </c>
      <c r="I12" s="119">
        <v>293838</v>
      </c>
      <c r="J12" s="122">
        <v>280637</v>
      </c>
      <c r="K12" s="119">
        <v>373910</v>
      </c>
      <c r="L12" s="120">
        <f>373910+7528</f>
        <v>381438</v>
      </c>
      <c r="M12" s="364">
        <f>373910+7528</f>
        <v>381438</v>
      </c>
    </row>
    <row r="13" spans="1:13" ht="12" customHeight="1">
      <c r="A13" s="381" t="s">
        <v>44</v>
      </c>
      <c r="B13" s="373"/>
      <c r="C13" s="119"/>
      <c r="D13" s="119"/>
      <c r="E13" s="119"/>
      <c r="F13" s="120"/>
      <c r="G13" s="120"/>
      <c r="H13" s="118" t="s">
        <v>288</v>
      </c>
      <c r="I13" s="119"/>
      <c r="J13" s="119"/>
      <c r="K13" s="119"/>
      <c r="L13" s="120"/>
      <c r="M13" s="364"/>
    </row>
    <row r="14" spans="1:13" ht="12" customHeight="1">
      <c r="A14" s="381" t="s">
        <v>46</v>
      </c>
      <c r="B14" s="373"/>
      <c r="C14" s="119"/>
      <c r="D14" s="119"/>
      <c r="E14" s="119"/>
      <c r="F14" s="120"/>
      <c r="G14" s="120"/>
      <c r="H14" s="118" t="s">
        <v>289</v>
      </c>
      <c r="I14" s="119"/>
      <c r="J14" s="122">
        <v>65000</v>
      </c>
      <c r="K14" s="119"/>
      <c r="L14" s="120">
        <v>20000</v>
      </c>
      <c r="M14" s="364">
        <v>0</v>
      </c>
    </row>
    <row r="15" spans="1:13" ht="12" customHeight="1">
      <c r="A15" s="381" t="s">
        <v>48</v>
      </c>
      <c r="B15" s="373"/>
      <c r="C15" s="119"/>
      <c r="D15" s="119"/>
      <c r="E15" s="119"/>
      <c r="F15" s="120"/>
      <c r="G15" s="120"/>
      <c r="H15" s="118" t="s">
        <v>290</v>
      </c>
      <c r="I15" s="119">
        <v>128247</v>
      </c>
      <c r="J15" s="119"/>
      <c r="K15" s="119"/>
      <c r="L15" s="120"/>
      <c r="M15" s="364"/>
    </row>
    <row r="16" spans="1:13" ht="12" customHeight="1" thickBot="1">
      <c r="A16" s="381" t="s">
        <v>50</v>
      </c>
      <c r="B16" s="374"/>
      <c r="C16" s="124"/>
      <c r="D16" s="124"/>
      <c r="E16" s="124"/>
      <c r="F16" s="125"/>
      <c r="G16" s="125"/>
      <c r="H16" s="123" t="s">
        <v>291</v>
      </c>
      <c r="I16" s="124"/>
      <c r="J16" s="124"/>
      <c r="K16" s="124">
        <v>5000</v>
      </c>
      <c r="L16" s="125">
        <v>5000</v>
      </c>
      <c r="M16" s="366">
        <v>5000</v>
      </c>
    </row>
    <row r="17" spans="1:13" ht="22.5" customHeight="1" thickBot="1">
      <c r="A17" s="381" t="s">
        <v>52</v>
      </c>
      <c r="B17" s="375" t="s">
        <v>292</v>
      </c>
      <c r="C17" s="350">
        <f>SUM(C5:C16)</f>
        <v>8774498</v>
      </c>
      <c r="D17" s="350">
        <f>SUM(D5:D16)</f>
        <v>8980636</v>
      </c>
      <c r="E17" s="350">
        <f>SUM(E5:E16)</f>
        <v>7804608</v>
      </c>
      <c r="F17" s="351">
        <f>SUM(F5:F16)</f>
        <v>8239973</v>
      </c>
      <c r="G17" s="351">
        <f>SUM(G5:G16)</f>
        <v>8277777</v>
      </c>
      <c r="H17" s="354" t="s">
        <v>293</v>
      </c>
      <c r="I17" s="350">
        <f>SUM(I5:I16)</f>
        <v>8400751</v>
      </c>
      <c r="J17" s="350">
        <f>SUM(J5:J16)</f>
        <v>8589583</v>
      </c>
      <c r="K17" s="350">
        <f>SUM(K5:K16)</f>
        <v>7894145</v>
      </c>
      <c r="L17" s="351">
        <f>SUM(L5:L16)</f>
        <v>8731814</v>
      </c>
      <c r="M17" s="353">
        <f>SUM(M5:M16)</f>
        <v>8822358</v>
      </c>
    </row>
    <row r="18" spans="1:13" ht="21.75" customHeight="1">
      <c r="A18" s="381" t="s">
        <v>54</v>
      </c>
      <c r="B18" s="376" t="s">
        <v>294</v>
      </c>
      <c r="C18" s="126">
        <v>357051</v>
      </c>
      <c r="D18" s="126">
        <v>421887</v>
      </c>
      <c r="E18" s="126"/>
      <c r="F18" s="127">
        <v>340927</v>
      </c>
      <c r="G18" s="127">
        <v>340927</v>
      </c>
      <c r="H18" s="115" t="s">
        <v>295</v>
      </c>
      <c r="I18" s="116"/>
      <c r="J18" s="116">
        <v>6363</v>
      </c>
      <c r="K18" s="116">
        <v>163637</v>
      </c>
      <c r="L18" s="117">
        <v>163637</v>
      </c>
      <c r="M18" s="367">
        <v>163637</v>
      </c>
    </row>
    <row r="19" spans="1:13" ht="12" customHeight="1">
      <c r="A19" s="381" t="s">
        <v>56</v>
      </c>
      <c r="B19" s="377" t="s">
        <v>296</v>
      </c>
      <c r="C19" s="128"/>
      <c r="D19" s="128"/>
      <c r="E19" s="128"/>
      <c r="F19" s="129"/>
      <c r="G19" s="129"/>
      <c r="H19" s="118" t="s">
        <v>297</v>
      </c>
      <c r="I19" s="128"/>
      <c r="J19" s="122">
        <v>43970</v>
      </c>
      <c r="K19" s="119">
        <v>362577</v>
      </c>
      <c r="L19" s="120">
        <v>362577</v>
      </c>
      <c r="M19" s="364">
        <v>362577</v>
      </c>
    </row>
    <row r="20" spans="1:13" ht="12" customHeight="1">
      <c r="A20" s="381" t="s">
        <v>57</v>
      </c>
      <c r="B20" s="373" t="s">
        <v>298</v>
      </c>
      <c r="C20" s="119"/>
      <c r="D20" s="122">
        <v>170000</v>
      </c>
      <c r="E20" s="119"/>
      <c r="F20" s="120"/>
      <c r="G20" s="120"/>
      <c r="H20" s="118" t="s">
        <v>299</v>
      </c>
      <c r="I20" s="119"/>
      <c r="J20" s="119"/>
      <c r="K20" s="130"/>
      <c r="L20" s="114"/>
      <c r="M20" s="368"/>
    </row>
    <row r="21" spans="1:13" ht="12" customHeight="1">
      <c r="A21" s="381" t="s">
        <v>62</v>
      </c>
      <c r="B21" s="373" t="s">
        <v>300</v>
      </c>
      <c r="C21" s="119">
        <v>88279</v>
      </c>
      <c r="D21" s="122"/>
      <c r="E21" s="119">
        <f>248374+362577</f>
        <v>610951</v>
      </c>
      <c r="F21" s="120">
        <f>'1.sz.mérleg '!F54</f>
        <v>662328</v>
      </c>
      <c r="G21" s="120">
        <f>'1.sz.mérleg '!G54</f>
        <v>665830</v>
      </c>
      <c r="H21" s="118" t="s">
        <v>301</v>
      </c>
      <c r="I21" s="128"/>
      <c r="J21" s="128"/>
      <c r="K21" s="128"/>
      <c r="L21" s="129"/>
      <c r="M21" s="369"/>
    </row>
    <row r="22" spans="1:13" ht="12" customHeight="1">
      <c r="A22" s="381" t="s">
        <v>64</v>
      </c>
      <c r="B22" s="373" t="s">
        <v>302</v>
      </c>
      <c r="C22" s="119"/>
      <c r="D22" s="119"/>
      <c r="E22" s="119"/>
      <c r="F22" s="120"/>
      <c r="G22" s="120"/>
      <c r="H22" s="118" t="s">
        <v>303</v>
      </c>
      <c r="I22" s="119"/>
      <c r="J22" s="119"/>
      <c r="K22" s="119"/>
      <c r="L22" s="120"/>
      <c r="M22" s="364"/>
    </row>
    <row r="23" spans="1:13" ht="12" customHeight="1">
      <c r="A23" s="381" t="s">
        <v>67</v>
      </c>
      <c r="B23" s="373" t="s">
        <v>304</v>
      </c>
      <c r="C23" s="119"/>
      <c r="D23" s="122"/>
      <c r="E23" s="119"/>
      <c r="F23" s="120"/>
      <c r="G23" s="120"/>
      <c r="H23" s="118" t="s">
        <v>305</v>
      </c>
      <c r="I23" s="119"/>
      <c r="J23" s="119"/>
      <c r="K23" s="119"/>
      <c r="L23" s="120"/>
      <c r="M23" s="364"/>
    </row>
    <row r="24" spans="1:13" ht="12" customHeight="1">
      <c r="A24" s="381" t="s">
        <v>70</v>
      </c>
      <c r="B24" s="373" t="s">
        <v>306</v>
      </c>
      <c r="C24" s="119"/>
      <c r="D24" s="119"/>
      <c r="E24" s="119"/>
      <c r="F24" s="120"/>
      <c r="G24" s="120"/>
      <c r="H24" s="118" t="s">
        <v>307</v>
      </c>
      <c r="I24" s="119"/>
      <c r="J24" s="119"/>
      <c r="K24" s="119"/>
      <c r="L24" s="120"/>
      <c r="M24" s="364"/>
    </row>
    <row r="25" spans="1:13" ht="12" customHeight="1">
      <c r="A25" s="381" t="s">
        <v>73</v>
      </c>
      <c r="B25" s="373" t="s">
        <v>308</v>
      </c>
      <c r="C25" s="119"/>
      <c r="D25" s="119"/>
      <c r="E25" s="119"/>
      <c r="F25" s="120"/>
      <c r="G25" s="120"/>
      <c r="H25" s="118" t="s">
        <v>309</v>
      </c>
      <c r="I25" s="119">
        <v>-1368</v>
      </c>
      <c r="J25" s="119">
        <v>-128021</v>
      </c>
      <c r="K25" s="128"/>
      <c r="L25" s="129"/>
      <c r="M25" s="369"/>
    </row>
    <row r="26" spans="1:13" ht="12" customHeight="1">
      <c r="A26" s="381" t="s">
        <v>76</v>
      </c>
      <c r="B26" s="373" t="s">
        <v>310</v>
      </c>
      <c r="C26" s="128"/>
      <c r="D26" s="119"/>
      <c r="E26" s="128"/>
      <c r="F26" s="129"/>
      <c r="G26" s="129"/>
      <c r="H26" s="118"/>
      <c r="I26" s="128"/>
      <c r="J26" s="119"/>
      <c r="K26" s="128"/>
      <c r="L26" s="129"/>
      <c r="M26" s="369"/>
    </row>
    <row r="27" spans="1:13" ht="12" customHeight="1">
      <c r="A27" s="381" t="s">
        <v>79</v>
      </c>
      <c r="B27" s="373" t="s">
        <v>311</v>
      </c>
      <c r="C27" s="119">
        <v>3864</v>
      </c>
      <c r="D27" s="119">
        <v>-106019</v>
      </c>
      <c r="E27" s="119"/>
      <c r="F27" s="120"/>
      <c r="G27" s="120"/>
      <c r="H27" s="118"/>
      <c r="I27" s="128"/>
      <c r="J27" s="119"/>
      <c r="K27" s="119"/>
      <c r="L27" s="120"/>
      <c r="M27" s="364"/>
    </row>
    <row r="28" spans="1:13" ht="12" customHeight="1" thickBot="1">
      <c r="A28" s="381" t="s">
        <v>82</v>
      </c>
      <c r="B28" s="374"/>
      <c r="C28" s="124"/>
      <c r="D28" s="124"/>
      <c r="E28" s="124"/>
      <c r="F28" s="125"/>
      <c r="G28" s="125"/>
      <c r="H28" s="123"/>
      <c r="I28" s="131"/>
      <c r="J28" s="131"/>
      <c r="K28" s="131"/>
      <c r="L28" s="132"/>
      <c r="M28" s="370"/>
    </row>
    <row r="29" spans="1:13" ht="22.5" customHeight="1" thickBot="1">
      <c r="A29" s="381" t="s">
        <v>85</v>
      </c>
      <c r="B29" s="375" t="s">
        <v>312</v>
      </c>
      <c r="C29" s="350">
        <f>SUM(C20:C28)</f>
        <v>92143</v>
      </c>
      <c r="D29" s="350">
        <f>SUM(D20:D28)</f>
        <v>63981</v>
      </c>
      <c r="E29" s="350">
        <f>SUM(E20:E28)</f>
        <v>610951</v>
      </c>
      <c r="F29" s="351">
        <f>SUM(F20:F28)</f>
        <v>662328</v>
      </c>
      <c r="G29" s="351">
        <f>SUM(G20:G28)</f>
        <v>665830</v>
      </c>
      <c r="H29" s="352" t="s">
        <v>313</v>
      </c>
      <c r="I29" s="350">
        <f>SUM(I18:I28)</f>
        <v>-1368</v>
      </c>
      <c r="J29" s="350">
        <f>SUM(J18:J28)</f>
        <v>-77688</v>
      </c>
      <c r="K29" s="350">
        <f>SUM(K18:K28)</f>
        <v>526214</v>
      </c>
      <c r="L29" s="351">
        <f>SUM(L18:L28)</f>
        <v>526214</v>
      </c>
      <c r="M29" s="353">
        <f>SUM(M18:M28)</f>
        <v>526214</v>
      </c>
    </row>
    <row r="30" spans="1:13" s="133" customFormat="1" ht="22.5" customHeight="1" thickBot="1">
      <c r="A30" s="381" t="s">
        <v>119</v>
      </c>
      <c r="B30" s="378" t="s">
        <v>314</v>
      </c>
      <c r="C30" s="345">
        <f>SUM(C17+C18+C19+C29)</f>
        <v>9223692</v>
      </c>
      <c r="D30" s="345">
        <f>SUM(D17+D18+D19+D29)</f>
        <v>9466504</v>
      </c>
      <c r="E30" s="345">
        <f>SUM(E17+E18+E19+E29)</f>
        <v>8415559</v>
      </c>
      <c r="F30" s="346">
        <f>SUM(F17+F18+F19+F29)</f>
        <v>9243228</v>
      </c>
      <c r="G30" s="346">
        <f>SUM(G17+G18+G19+G29)</f>
        <v>9284534</v>
      </c>
      <c r="H30" s="347" t="s">
        <v>315</v>
      </c>
      <c r="I30" s="345">
        <f>SUM(I17+I29)</f>
        <v>8399383</v>
      </c>
      <c r="J30" s="345">
        <f>SUM(J17+J29)</f>
        <v>8511895</v>
      </c>
      <c r="K30" s="345">
        <f>SUM(K17+K29)</f>
        <v>8420359</v>
      </c>
      <c r="L30" s="346">
        <f>SUM(L17+L29)</f>
        <v>9258028</v>
      </c>
      <c r="M30" s="348">
        <f>SUM(M17+M29)</f>
        <v>9348572</v>
      </c>
    </row>
    <row r="31" spans="1:13" ht="16.5" customHeight="1" thickBot="1">
      <c r="A31" s="382" t="s">
        <v>121</v>
      </c>
      <c r="B31" s="386" t="s">
        <v>316</v>
      </c>
      <c r="C31" s="387"/>
      <c r="D31" s="387"/>
      <c r="E31" s="387">
        <f>SUM(K17-E17)</f>
        <v>89537</v>
      </c>
      <c r="F31" s="388">
        <f>SUM(L17-F17)</f>
        <v>491841</v>
      </c>
      <c r="G31" s="388">
        <f>SUM(M17-G17)</f>
        <v>544581</v>
      </c>
      <c r="H31" s="389" t="s">
        <v>317</v>
      </c>
      <c r="I31" s="387">
        <f>SUM(C17-I17)</f>
        <v>373747</v>
      </c>
      <c r="J31" s="387">
        <f>SUM(D17-J17)</f>
        <v>391053</v>
      </c>
      <c r="K31" s="387">
        <f>SUM(E17-K17)</f>
        <v>-89537</v>
      </c>
      <c r="L31" s="388"/>
      <c r="M31" s="390"/>
    </row>
    <row r="45" ht="12" customHeight="1"/>
  </sheetData>
  <printOptions horizontalCentered="1" verticalCentered="1"/>
  <pageMargins left="0.39375" right="0.39375" top="0.7868055555555555" bottom="0.4722222222222222" header="0.5902777777777778" footer="0.5118055555555555"/>
  <pageSetup fitToHeight="1" fitToWidth="1" horizontalDpi="300" verticalDpi="300" orientation="landscape" scale="88" r:id="rId1"/>
  <headerFooter alignWithMargins="0">
    <oddHeader>&amp;L&amp;8  2. melléklet a …/…..(….) önkormányzati rendelethez&amp;C&amp;"Arial CE,Félkövér"&amp;11Működési célú  bevételek és kiadások mérlege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0">
      <pane ySplit="1" topLeftCell="BM1" activePane="bottomLeft" state="split"/>
      <selection pane="topLeft" activeCell="J21" sqref="J21"/>
      <selection pane="bottomLeft" activeCell="A28" sqref="A2:A28"/>
    </sheetView>
  </sheetViews>
  <sheetFormatPr defaultColWidth="9.00390625" defaultRowHeight="12.75"/>
  <cols>
    <col min="1" max="1" width="3.375" style="134" customWidth="1"/>
    <col min="2" max="2" width="30.00390625" style="134" customWidth="1"/>
    <col min="3" max="3" width="8.875" style="134" customWidth="1"/>
    <col min="4" max="4" width="8.75390625" style="134" customWidth="1"/>
    <col min="5" max="5" width="8.875" style="134" customWidth="1"/>
    <col min="6" max="7" width="9.25390625" style="134" customWidth="1"/>
    <col min="8" max="8" width="28.25390625" style="134" customWidth="1"/>
    <col min="9" max="10" width="8.375" style="134" customWidth="1"/>
    <col min="11" max="11" width="8.625" style="134" customWidth="1"/>
    <col min="12" max="16384" width="9.125" style="134" customWidth="1"/>
  </cols>
  <sheetData>
    <row r="1" ht="13.5" thickBot="1">
      <c r="J1" s="135" t="s">
        <v>87</v>
      </c>
    </row>
    <row r="2" spans="1:13" ht="13.5" thickBot="1">
      <c r="A2" s="403"/>
      <c r="B2" s="393" t="s">
        <v>2</v>
      </c>
      <c r="C2" s="384" t="s">
        <v>88</v>
      </c>
      <c r="D2" s="384" t="s">
        <v>4</v>
      </c>
      <c r="E2" s="384" t="s">
        <v>5</v>
      </c>
      <c r="F2" s="384" t="s">
        <v>6</v>
      </c>
      <c r="G2" s="384" t="s">
        <v>7</v>
      </c>
      <c r="H2" s="384" t="s">
        <v>8</v>
      </c>
      <c r="I2" s="384" t="s">
        <v>9</v>
      </c>
      <c r="J2" s="384" t="s">
        <v>10</v>
      </c>
      <c r="K2" s="384" t="s">
        <v>11</v>
      </c>
      <c r="L2" s="384" t="s">
        <v>12</v>
      </c>
      <c r="M2" s="385" t="s">
        <v>13</v>
      </c>
    </row>
    <row r="3" spans="1:13" ht="34.5" customHeight="1" thickBot="1">
      <c r="A3" s="404"/>
      <c r="B3" s="355" t="s">
        <v>271</v>
      </c>
      <c r="C3" s="356" t="s">
        <v>90</v>
      </c>
      <c r="D3" s="357" t="s">
        <v>91</v>
      </c>
      <c r="E3" s="356" t="s">
        <v>272</v>
      </c>
      <c r="F3" s="293" t="s">
        <v>93</v>
      </c>
      <c r="G3" s="292" t="s">
        <v>94</v>
      </c>
      <c r="H3" s="358" t="s">
        <v>273</v>
      </c>
      <c r="I3" s="356" t="s">
        <v>90</v>
      </c>
      <c r="J3" s="357" t="s">
        <v>91</v>
      </c>
      <c r="K3" s="357" t="s">
        <v>92</v>
      </c>
      <c r="L3" s="293" t="s">
        <v>93</v>
      </c>
      <c r="M3" s="294" t="s">
        <v>94</v>
      </c>
    </row>
    <row r="4" spans="1:13" ht="12.75" customHeight="1">
      <c r="A4" s="405" t="s">
        <v>28</v>
      </c>
      <c r="B4" s="394" t="s">
        <v>318</v>
      </c>
      <c r="C4" s="116">
        <v>8775</v>
      </c>
      <c r="D4" s="117">
        <v>51351</v>
      </c>
      <c r="E4" s="116">
        <f>381960-183160</f>
        <v>198800</v>
      </c>
      <c r="F4" s="117">
        <f>381960-183160+1050+10000</f>
        <v>209850</v>
      </c>
      <c r="G4" s="116">
        <f>'1.sz.mérleg '!G28</f>
        <v>251088</v>
      </c>
      <c r="H4" s="115" t="s">
        <v>319</v>
      </c>
      <c r="I4" s="116">
        <v>199014</v>
      </c>
      <c r="J4" s="117">
        <v>357175</v>
      </c>
      <c r="K4" s="117">
        <f>1702506</f>
        <v>1702506</v>
      </c>
      <c r="L4" s="117">
        <f>'1.sz.mérleg '!F85</f>
        <v>2040009</v>
      </c>
      <c r="M4" s="367">
        <f>'1.sz.mérleg '!G85</f>
        <v>2049023</v>
      </c>
    </row>
    <row r="5" spans="1:13" ht="12.75" customHeight="1">
      <c r="A5" s="405" t="s">
        <v>30</v>
      </c>
      <c r="B5" s="363" t="s">
        <v>320</v>
      </c>
      <c r="C5" s="119">
        <v>175619</v>
      </c>
      <c r="D5" s="120">
        <v>11187</v>
      </c>
      <c r="E5" s="119">
        <v>8750</v>
      </c>
      <c r="F5" s="120">
        <v>8750</v>
      </c>
      <c r="G5" s="119">
        <v>8750</v>
      </c>
      <c r="H5" s="115" t="s">
        <v>321</v>
      </c>
      <c r="I5" s="116">
        <v>28695</v>
      </c>
      <c r="J5" s="117">
        <v>81695</v>
      </c>
      <c r="K5" s="117">
        <f>341410</f>
        <v>341410</v>
      </c>
      <c r="L5" s="117">
        <f>'1.sz.mérleg '!F86</f>
        <v>711761</v>
      </c>
      <c r="M5" s="367">
        <f>'1.sz.mérleg '!G86</f>
        <v>704441</v>
      </c>
    </row>
    <row r="6" spans="1:13" ht="12.75">
      <c r="A6" s="405" t="s">
        <v>32</v>
      </c>
      <c r="B6" s="363" t="s">
        <v>322</v>
      </c>
      <c r="C6" s="119"/>
      <c r="D6" s="120">
        <v>88750</v>
      </c>
      <c r="E6" s="119"/>
      <c r="F6" s="120"/>
      <c r="G6" s="119"/>
      <c r="H6" s="118" t="s">
        <v>323</v>
      </c>
      <c r="I6" s="119"/>
      <c r="J6" s="120"/>
      <c r="K6" s="120"/>
      <c r="L6" s="120"/>
      <c r="M6" s="364"/>
    </row>
    <row r="7" spans="1:13" ht="12.75">
      <c r="A7" s="405" t="s">
        <v>34</v>
      </c>
      <c r="B7" s="395" t="s">
        <v>324</v>
      </c>
      <c r="C7" s="119"/>
      <c r="D7" s="120"/>
      <c r="E7" s="119">
        <v>50000</v>
      </c>
      <c r="F7" s="120">
        <v>50000</v>
      </c>
      <c r="G7" s="119">
        <v>50000</v>
      </c>
      <c r="H7" s="118" t="s">
        <v>325</v>
      </c>
      <c r="I7" s="119">
        <v>210</v>
      </c>
      <c r="J7" s="120">
        <f>15+1324+887</f>
        <v>2226</v>
      </c>
      <c r="K7" s="120"/>
      <c r="L7" s="120"/>
      <c r="M7" s="364"/>
    </row>
    <row r="8" spans="1:13" ht="12.75" customHeight="1">
      <c r="A8" s="405" t="s">
        <v>36</v>
      </c>
      <c r="B8" s="363" t="s">
        <v>326</v>
      </c>
      <c r="C8" s="119"/>
      <c r="D8" s="120"/>
      <c r="E8" s="119"/>
      <c r="F8" s="120">
        <v>1100</v>
      </c>
      <c r="G8" s="119">
        <v>1100</v>
      </c>
      <c r="H8" s="118" t="s">
        <v>327</v>
      </c>
      <c r="I8" s="119"/>
      <c r="J8" s="120">
        <v>61221</v>
      </c>
      <c r="K8" s="120"/>
      <c r="L8" s="120"/>
      <c r="M8" s="364"/>
    </row>
    <row r="9" spans="1:13" ht="12.75">
      <c r="A9" s="405" t="s">
        <v>38</v>
      </c>
      <c r="B9" s="363" t="s">
        <v>328</v>
      </c>
      <c r="C9" s="119">
        <f>4889</f>
        <v>4889</v>
      </c>
      <c r="D9" s="120">
        <v>15098</v>
      </c>
      <c r="E9" s="119"/>
      <c r="F9" s="120"/>
      <c r="G9" s="119"/>
      <c r="H9" s="118" t="s">
        <v>291</v>
      </c>
      <c r="I9" s="119"/>
      <c r="J9" s="120"/>
      <c r="K9" s="120"/>
      <c r="L9" s="120">
        <f>'1.sz.mérleg '!F97</f>
        <v>715102</v>
      </c>
      <c r="M9" s="364">
        <f>'1.sz.mérleg '!G97</f>
        <v>715102</v>
      </c>
    </row>
    <row r="10" spans="1:13" ht="12.75" customHeight="1">
      <c r="A10" s="405" t="s">
        <v>40</v>
      </c>
      <c r="B10" s="363" t="s">
        <v>329</v>
      </c>
      <c r="C10" s="119">
        <f>51+2500+3474+13400+720+200+1000+292</f>
        <v>21637</v>
      </c>
      <c r="D10" s="120">
        <f>15+253+960+9800+6498+3200</f>
        <v>20726</v>
      </c>
      <c r="E10" s="119">
        <f>8000</f>
        <v>8000</v>
      </c>
      <c r="F10" s="120">
        <f>8000+1400+211</f>
        <v>9611</v>
      </c>
      <c r="G10" s="119">
        <f>8000+1400+211+2000+290+3252</f>
        <v>15153</v>
      </c>
      <c r="H10" s="118" t="s">
        <v>330</v>
      </c>
      <c r="I10" s="119"/>
      <c r="J10" s="120">
        <v>4100</v>
      </c>
      <c r="K10" s="120">
        <v>5000</v>
      </c>
      <c r="L10" s="120">
        <v>5000</v>
      </c>
      <c r="M10" s="364">
        <v>5000</v>
      </c>
    </row>
    <row r="11" spans="1:13" ht="12.75" customHeight="1">
      <c r="A11" s="405" t="s">
        <v>42</v>
      </c>
      <c r="B11" s="363" t="s">
        <v>280</v>
      </c>
      <c r="C11" s="119">
        <v>86136</v>
      </c>
      <c r="D11" s="120">
        <v>179552</v>
      </c>
      <c r="E11" s="119">
        <v>1663</v>
      </c>
      <c r="F11" s="120">
        <f>1663-1100+42000+17966</f>
        <v>60529</v>
      </c>
      <c r="G11" s="119">
        <f>'1.sz.mérleg '!G35</f>
        <v>60919</v>
      </c>
      <c r="H11" s="118" t="s">
        <v>331</v>
      </c>
      <c r="I11" s="119"/>
      <c r="J11" s="120"/>
      <c r="K11" s="120"/>
      <c r="L11" s="120"/>
      <c r="M11" s="364"/>
    </row>
    <row r="12" spans="1:13" ht="12.75">
      <c r="A12" s="405" t="s">
        <v>44</v>
      </c>
      <c r="B12" s="363" t="s">
        <v>332</v>
      </c>
      <c r="C12" s="119">
        <v>49207</v>
      </c>
      <c r="D12" s="120">
        <v>67658</v>
      </c>
      <c r="E12" s="119">
        <f>1505088+42000</f>
        <v>1547088</v>
      </c>
      <c r="F12" s="120">
        <f>1505088+42000+55689-42000</f>
        <v>1560777</v>
      </c>
      <c r="G12" s="119">
        <f>'1.sz.mérleg '!G39</f>
        <v>1564539</v>
      </c>
      <c r="H12" s="118" t="s">
        <v>333</v>
      </c>
      <c r="I12" s="119"/>
      <c r="J12" s="120"/>
      <c r="K12" s="120">
        <v>50000</v>
      </c>
      <c r="L12" s="120">
        <v>50000</v>
      </c>
      <c r="M12" s="364">
        <v>50000</v>
      </c>
    </row>
    <row r="13" spans="1:13" ht="12.75" customHeight="1">
      <c r="A13" s="405" t="s">
        <v>46</v>
      </c>
      <c r="B13" s="363" t="s">
        <v>334</v>
      </c>
      <c r="C13" s="119">
        <v>10528</v>
      </c>
      <c r="D13" s="120">
        <v>9385</v>
      </c>
      <c r="E13" s="119">
        <v>9800</v>
      </c>
      <c r="F13" s="120">
        <v>9800</v>
      </c>
      <c r="G13" s="119">
        <v>9800</v>
      </c>
      <c r="H13" s="118" t="s">
        <v>335</v>
      </c>
      <c r="I13" s="119">
        <f>10822+33197-210</f>
        <v>43809</v>
      </c>
      <c r="J13" s="120">
        <v>13716</v>
      </c>
      <c r="K13" s="120">
        <v>39760</v>
      </c>
      <c r="L13" s="120">
        <v>39760</v>
      </c>
      <c r="M13" s="364">
        <v>39760</v>
      </c>
    </row>
    <row r="14" spans="1:13" ht="12.75" customHeight="1" thickBot="1">
      <c r="A14" s="405" t="s">
        <v>48</v>
      </c>
      <c r="B14" s="396" t="s">
        <v>336</v>
      </c>
      <c r="C14" s="137">
        <v>3939</v>
      </c>
      <c r="D14" s="138">
        <v>809</v>
      </c>
      <c r="E14" s="124">
        <v>183160</v>
      </c>
      <c r="F14" s="125">
        <v>183160</v>
      </c>
      <c r="G14" s="124">
        <v>183160</v>
      </c>
      <c r="H14" s="136"/>
      <c r="I14" s="137"/>
      <c r="J14" s="138"/>
      <c r="K14" s="138"/>
      <c r="L14" s="138"/>
      <c r="M14" s="397"/>
    </row>
    <row r="15" spans="1:13" ht="22.5" customHeight="1" thickBot="1">
      <c r="A15" s="405" t="s">
        <v>50</v>
      </c>
      <c r="B15" s="349" t="s">
        <v>337</v>
      </c>
      <c r="C15" s="350">
        <f>SUM(C4:C14)</f>
        <v>360730</v>
      </c>
      <c r="D15" s="351">
        <f>SUM(D4:D14)</f>
        <v>444516</v>
      </c>
      <c r="E15" s="350">
        <f>SUM(E4:E14)</f>
        <v>2007261</v>
      </c>
      <c r="F15" s="351">
        <f>SUM(F4:F14)</f>
        <v>2093577</v>
      </c>
      <c r="G15" s="350">
        <f>SUM(G4:G14)</f>
        <v>2144509</v>
      </c>
      <c r="H15" s="352" t="s">
        <v>338</v>
      </c>
      <c r="I15" s="350">
        <f>SUM(I4:I13)</f>
        <v>271728</v>
      </c>
      <c r="J15" s="351">
        <f>SUM(J4:J13)</f>
        <v>520133</v>
      </c>
      <c r="K15" s="351">
        <f>SUM(K4:K13)</f>
        <v>2138676</v>
      </c>
      <c r="L15" s="351">
        <f>SUM(L4:L13)</f>
        <v>3561632</v>
      </c>
      <c r="M15" s="353">
        <f>SUM(M4:M13)</f>
        <v>3563326</v>
      </c>
    </row>
    <row r="16" spans="1:13" ht="22.5">
      <c r="A16" s="405" t="s">
        <v>52</v>
      </c>
      <c r="B16" s="398" t="s">
        <v>339</v>
      </c>
      <c r="C16" s="126">
        <v>205000</v>
      </c>
      <c r="D16" s="127">
        <f>387080+18000</f>
        <v>405080</v>
      </c>
      <c r="E16" s="126">
        <f>228411</f>
        <v>228411</v>
      </c>
      <c r="F16" s="127">
        <f>228411+1346640</f>
        <v>1575051</v>
      </c>
      <c r="G16" s="126">
        <f>228411+1346640</f>
        <v>1575051</v>
      </c>
      <c r="H16" s="115" t="s">
        <v>295</v>
      </c>
      <c r="I16" s="116"/>
      <c r="J16" s="117"/>
      <c r="K16" s="117"/>
      <c r="L16" s="117"/>
      <c r="M16" s="367"/>
    </row>
    <row r="17" spans="1:13" ht="12.75">
      <c r="A17" s="405" t="s">
        <v>54</v>
      </c>
      <c r="B17" s="363" t="s">
        <v>340</v>
      </c>
      <c r="C17" s="128"/>
      <c r="D17" s="114"/>
      <c r="E17" s="130"/>
      <c r="F17" s="114"/>
      <c r="G17" s="130"/>
      <c r="H17" s="118" t="s">
        <v>297</v>
      </c>
      <c r="I17" s="119"/>
      <c r="J17" s="120"/>
      <c r="K17" s="120"/>
      <c r="L17" s="120"/>
      <c r="M17" s="364"/>
    </row>
    <row r="18" spans="1:13" ht="12.75">
      <c r="A18" s="405" t="s">
        <v>56</v>
      </c>
      <c r="B18" s="363" t="s">
        <v>300</v>
      </c>
      <c r="C18" s="119"/>
      <c r="D18" s="120"/>
      <c r="E18" s="119"/>
      <c r="F18" s="120"/>
      <c r="G18" s="119"/>
      <c r="H18" s="118" t="s">
        <v>299</v>
      </c>
      <c r="I18" s="119">
        <v>179859</v>
      </c>
      <c r="J18" s="120">
        <v>90861</v>
      </c>
      <c r="K18" s="120">
        <v>92196</v>
      </c>
      <c r="L18" s="120">
        <v>92196</v>
      </c>
      <c r="M18" s="364">
        <v>92196</v>
      </c>
    </row>
    <row r="19" spans="1:13" ht="12.75" customHeight="1">
      <c r="A19" s="405" t="s">
        <v>57</v>
      </c>
      <c r="B19" s="363" t="s">
        <v>302</v>
      </c>
      <c r="C19" s="119"/>
      <c r="D19" s="120"/>
      <c r="E19" s="119"/>
      <c r="F19" s="120"/>
      <c r="G19" s="119"/>
      <c r="H19" s="118" t="s">
        <v>301</v>
      </c>
      <c r="I19" s="128"/>
      <c r="J19" s="129"/>
      <c r="K19" s="129"/>
      <c r="L19" s="129"/>
      <c r="M19" s="369"/>
    </row>
    <row r="20" spans="1:13" ht="12.75" customHeight="1">
      <c r="A20" s="405" t="s">
        <v>62</v>
      </c>
      <c r="B20" s="363" t="s">
        <v>341</v>
      </c>
      <c r="C20" s="119"/>
      <c r="D20" s="120"/>
      <c r="E20" s="119"/>
      <c r="F20" s="138"/>
      <c r="G20" s="137"/>
      <c r="H20" s="136" t="s">
        <v>303</v>
      </c>
      <c r="I20" s="119"/>
      <c r="J20" s="120"/>
      <c r="K20" s="120"/>
      <c r="L20" s="138"/>
      <c r="M20" s="397"/>
    </row>
    <row r="21" spans="1:13" ht="12.75" customHeight="1">
      <c r="A21" s="405" t="s">
        <v>64</v>
      </c>
      <c r="B21" s="396" t="s">
        <v>306</v>
      </c>
      <c r="C21" s="119"/>
      <c r="D21" s="120"/>
      <c r="E21" s="119"/>
      <c r="F21" s="120"/>
      <c r="G21" s="119"/>
      <c r="H21" s="118" t="s">
        <v>305</v>
      </c>
      <c r="I21" s="119"/>
      <c r="J21" s="120"/>
      <c r="K21" s="120"/>
      <c r="L21" s="120"/>
      <c r="M21" s="364"/>
    </row>
    <row r="22" spans="1:13" ht="12.75" customHeight="1">
      <c r="A22" s="405" t="s">
        <v>67</v>
      </c>
      <c r="B22" s="363" t="s">
        <v>308</v>
      </c>
      <c r="C22" s="119">
        <v>1056080</v>
      </c>
      <c r="D22" s="120"/>
      <c r="E22" s="119"/>
      <c r="F22" s="117"/>
      <c r="G22" s="116"/>
      <c r="H22" s="115" t="s">
        <v>307</v>
      </c>
      <c r="I22" s="119"/>
      <c r="J22" s="120"/>
      <c r="K22" s="120"/>
      <c r="L22" s="117"/>
      <c r="M22" s="367"/>
    </row>
    <row r="23" spans="1:13" ht="12.75" customHeight="1">
      <c r="A23" s="405" t="s">
        <v>70</v>
      </c>
      <c r="B23" s="394" t="s">
        <v>342</v>
      </c>
      <c r="C23" s="119"/>
      <c r="D23" s="120">
        <v>59094</v>
      </c>
      <c r="E23" s="119"/>
      <c r="F23" s="117"/>
      <c r="G23" s="116"/>
      <c r="H23" s="115" t="s">
        <v>309</v>
      </c>
      <c r="I23" s="119"/>
      <c r="J23" s="120"/>
      <c r="K23" s="120"/>
      <c r="L23" s="117"/>
      <c r="M23" s="367"/>
    </row>
    <row r="24" spans="1:13" ht="12.75">
      <c r="A24" s="405" t="s">
        <v>73</v>
      </c>
      <c r="B24" s="365" t="s">
        <v>311</v>
      </c>
      <c r="C24" s="119"/>
      <c r="D24" s="120"/>
      <c r="E24" s="119"/>
      <c r="F24" s="117"/>
      <c r="G24" s="116"/>
      <c r="H24" s="115"/>
      <c r="I24" s="119"/>
      <c r="J24" s="120"/>
      <c r="K24" s="120"/>
      <c r="L24" s="117"/>
      <c r="M24" s="367"/>
    </row>
    <row r="25" spans="1:13" ht="12.75" customHeight="1">
      <c r="A25" s="405" t="s">
        <v>76</v>
      </c>
      <c r="B25" s="365"/>
      <c r="C25" s="124"/>
      <c r="D25" s="125"/>
      <c r="E25" s="124"/>
      <c r="F25" s="125"/>
      <c r="G25" s="124"/>
      <c r="H25" s="123"/>
      <c r="I25" s="124"/>
      <c r="J25" s="125"/>
      <c r="K25" s="125"/>
      <c r="L25" s="125"/>
      <c r="M25" s="366"/>
    </row>
    <row r="26" spans="1:13" ht="22.5" customHeight="1" thickBot="1">
      <c r="A26" s="405" t="s">
        <v>79</v>
      </c>
      <c r="B26" s="399" t="s">
        <v>343</v>
      </c>
      <c r="C26" s="343">
        <f>SUM(C17:C25)</f>
        <v>1056080</v>
      </c>
      <c r="D26" s="344">
        <f>SUM(D17:D25)</f>
        <v>59094</v>
      </c>
      <c r="E26" s="343">
        <f>SUM(E17:E25)</f>
        <v>0</v>
      </c>
      <c r="F26" s="344">
        <f>SUM(F17:F25)</f>
        <v>0</v>
      </c>
      <c r="G26" s="343">
        <f>SUM(G17:G25)</f>
        <v>0</v>
      </c>
      <c r="H26" s="342" t="s">
        <v>344</v>
      </c>
      <c r="I26" s="343">
        <f>SUM(I16:I25)</f>
        <v>179859</v>
      </c>
      <c r="J26" s="344">
        <f>SUM(J16:J25)</f>
        <v>90861</v>
      </c>
      <c r="K26" s="344">
        <f>SUM(K16:K25)</f>
        <v>92196</v>
      </c>
      <c r="L26" s="344">
        <f>SUM(L16:L25)</f>
        <v>92196</v>
      </c>
      <c r="M26" s="400">
        <f>SUM(M16:M25)</f>
        <v>92196</v>
      </c>
    </row>
    <row r="27" spans="1:13" ht="22.5" customHeight="1" thickBot="1">
      <c r="A27" s="405" t="s">
        <v>82</v>
      </c>
      <c r="B27" s="391" t="s">
        <v>345</v>
      </c>
      <c r="C27" s="345">
        <f>SUM(C26+C16+C15)</f>
        <v>1621810</v>
      </c>
      <c r="D27" s="346">
        <f>SUM(D26+D16+D15)</f>
        <v>908690</v>
      </c>
      <c r="E27" s="345">
        <f>SUM(E26+E16+E15)</f>
        <v>2235672</v>
      </c>
      <c r="F27" s="346">
        <f>SUM(F26+F16+F15)</f>
        <v>3668628</v>
      </c>
      <c r="G27" s="345">
        <f>SUM(G26+G16+G15)</f>
        <v>3719560</v>
      </c>
      <c r="H27" s="392" t="s">
        <v>346</v>
      </c>
      <c r="I27" s="345">
        <f>SUM(I26,I15)</f>
        <v>451587</v>
      </c>
      <c r="J27" s="346">
        <f>SUM(J26,J15)</f>
        <v>610994</v>
      </c>
      <c r="K27" s="346">
        <f>SUM(K26,K15)</f>
        <v>2230872</v>
      </c>
      <c r="L27" s="346">
        <f>SUM(L26,L15)</f>
        <v>3653828</v>
      </c>
      <c r="M27" s="348">
        <f>SUM(M26,M15)</f>
        <v>3655522</v>
      </c>
    </row>
    <row r="28" spans="1:13" ht="16.5" customHeight="1" thickBot="1">
      <c r="A28" s="406" t="s">
        <v>85</v>
      </c>
      <c r="B28" s="401" t="s">
        <v>316</v>
      </c>
      <c r="C28" s="387"/>
      <c r="D28" s="388">
        <f>SUM(J15-D15)</f>
        <v>75617</v>
      </c>
      <c r="E28" s="387">
        <f>SUM(K15-E15)</f>
        <v>131415</v>
      </c>
      <c r="F28" s="388">
        <f>SUM(L15-F15)</f>
        <v>1468055</v>
      </c>
      <c r="G28" s="387">
        <f>SUM(M15-G15)</f>
        <v>1418817</v>
      </c>
      <c r="H28" s="402" t="s">
        <v>317</v>
      </c>
      <c r="I28" s="387">
        <f>SUM(C15-I15)</f>
        <v>89002</v>
      </c>
      <c r="J28" s="387"/>
      <c r="K28" s="388"/>
      <c r="L28" s="388"/>
      <c r="M28" s="390"/>
    </row>
  </sheetData>
  <printOptions horizontalCentered="1" verticalCentered="1"/>
  <pageMargins left="0.39375" right="0.39375" top="0.7597222222222222" bottom="0.19652777777777777" header="0.39375" footer="0.5118055555555555"/>
  <pageSetup fitToHeight="1" fitToWidth="1" horizontalDpi="300" verticalDpi="300" orientation="landscape" paperSize="9" scale="94" r:id="rId1"/>
  <headerFooter alignWithMargins="0">
    <oddHeader>&amp;L&amp;8  3. melléklet a …/…..(….) önkormányzati rendelethez&amp;C&amp;"Arial CE,Félkövér"&amp;11Felhalmozási célú bevételek és kiadások mérlege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F16">
      <pane ySplit="1" topLeftCell="BM10" activePane="bottomLeft" state="split"/>
      <selection pane="topLeft" activeCell="J21" sqref="J21"/>
      <selection pane="bottomLeft" activeCell="F25" sqref="F25"/>
    </sheetView>
  </sheetViews>
  <sheetFormatPr defaultColWidth="9.00390625" defaultRowHeight="12.75"/>
  <cols>
    <col min="1" max="1" width="3.25390625" style="139" customWidth="1"/>
    <col min="2" max="2" width="18.25390625" style="139" customWidth="1"/>
    <col min="3" max="3" width="9.875" style="139" customWidth="1"/>
    <col min="4" max="4" width="10.125" style="139" customWidth="1"/>
    <col min="5" max="6" width="9.375" style="139" customWidth="1"/>
    <col min="7" max="7" width="9.875" style="139" customWidth="1"/>
    <col min="8" max="8" width="10.125" style="139" customWidth="1"/>
    <col min="9" max="9" width="9.875" style="139" customWidth="1"/>
    <col min="10" max="10" width="8.125" style="139" customWidth="1"/>
    <col min="11" max="11" width="11.00390625" style="139" customWidth="1"/>
    <col min="12" max="12" width="10.125" style="139" customWidth="1"/>
    <col min="13" max="13" width="9.875" style="139" customWidth="1"/>
    <col min="14" max="14" width="10.125" style="139" customWidth="1"/>
    <col min="15" max="15" width="8.25390625" style="139" customWidth="1"/>
    <col min="16" max="17" width="9.875" style="139" customWidth="1"/>
    <col min="18" max="18" width="11.125" style="139" customWidth="1"/>
    <col min="19" max="16384" width="9.125" style="139" customWidth="1"/>
  </cols>
  <sheetData>
    <row r="1" spans="16:18" ht="12.75" customHeight="1">
      <c r="P1" s="500"/>
      <c r="Q1" s="500"/>
      <c r="R1" s="500"/>
    </row>
    <row r="4" spans="16:18" ht="12.75" customHeight="1">
      <c r="P4" s="501" t="s">
        <v>87</v>
      </c>
      <c r="Q4" s="501"/>
      <c r="R4" s="501"/>
    </row>
    <row r="6" spans="1:18" ht="12.75">
      <c r="A6" s="140"/>
      <c r="B6" s="141" t="s">
        <v>2</v>
      </c>
      <c r="C6" s="142" t="s">
        <v>88</v>
      </c>
      <c r="D6" s="142" t="s">
        <v>4</v>
      </c>
      <c r="E6" s="142" t="s">
        <v>5</v>
      </c>
      <c r="F6" s="142" t="s">
        <v>6</v>
      </c>
      <c r="G6" s="142" t="s">
        <v>7</v>
      </c>
      <c r="H6" s="142" t="s">
        <v>8</v>
      </c>
      <c r="I6" s="142" t="s">
        <v>9</v>
      </c>
      <c r="J6" s="142" t="s">
        <v>10</v>
      </c>
      <c r="K6" s="142" t="s">
        <v>11</v>
      </c>
      <c r="L6" s="142" t="s">
        <v>12</v>
      </c>
      <c r="M6" s="142" t="s">
        <v>13</v>
      </c>
      <c r="N6" s="142" t="s">
        <v>14</v>
      </c>
      <c r="O6" s="142" t="s">
        <v>347</v>
      </c>
      <c r="P6" s="142" t="s">
        <v>348</v>
      </c>
      <c r="Q6" s="143" t="s">
        <v>349</v>
      </c>
      <c r="R6" s="143" t="s">
        <v>350</v>
      </c>
    </row>
    <row r="7" spans="1:18" ht="18" customHeight="1">
      <c r="A7" s="144"/>
      <c r="B7" s="145"/>
      <c r="C7" s="502" t="s">
        <v>351</v>
      </c>
      <c r="D7" s="502"/>
      <c r="E7" s="502"/>
      <c r="F7" s="502"/>
      <c r="G7" s="502"/>
      <c r="H7" s="502"/>
      <c r="I7" s="502"/>
      <c r="J7" s="502"/>
      <c r="K7" s="502"/>
      <c r="L7" s="503" t="s">
        <v>352</v>
      </c>
      <c r="M7" s="504"/>
      <c r="N7" s="504"/>
      <c r="O7" s="504"/>
      <c r="P7" s="504"/>
      <c r="Q7" s="504"/>
      <c r="R7" s="505"/>
    </row>
    <row r="8" spans="1:18" ht="62.25" customHeight="1">
      <c r="A8" s="144"/>
      <c r="B8" s="146" t="s">
        <v>353</v>
      </c>
      <c r="C8" s="146" t="s">
        <v>354</v>
      </c>
      <c r="D8" s="147" t="s">
        <v>355</v>
      </c>
      <c r="E8" s="148" t="s">
        <v>356</v>
      </c>
      <c r="F8" s="148" t="s">
        <v>357</v>
      </c>
      <c r="G8" s="148" t="s">
        <v>358</v>
      </c>
      <c r="H8" s="148" t="s">
        <v>359</v>
      </c>
      <c r="I8" s="149" t="s">
        <v>360</v>
      </c>
      <c r="J8" s="150" t="s">
        <v>361</v>
      </c>
      <c r="K8" s="147" t="s">
        <v>58</v>
      </c>
      <c r="L8" s="146" t="s">
        <v>362</v>
      </c>
      <c r="M8" s="147" t="s">
        <v>363</v>
      </c>
      <c r="N8" s="148" t="s">
        <v>364</v>
      </c>
      <c r="O8" s="149" t="s">
        <v>365</v>
      </c>
      <c r="P8" s="149" t="s">
        <v>360</v>
      </c>
      <c r="Q8" s="150" t="s">
        <v>361</v>
      </c>
      <c r="R8" s="147" t="s">
        <v>58</v>
      </c>
    </row>
    <row r="9" spans="1:19" ht="23.25" customHeight="1">
      <c r="A9" s="151" t="s">
        <v>28</v>
      </c>
      <c r="B9" s="152" t="s">
        <v>29</v>
      </c>
      <c r="C9" s="153">
        <v>25759</v>
      </c>
      <c r="D9" s="154">
        <f>245213+256-3835-16398-6685</f>
        <v>218551</v>
      </c>
      <c r="E9" s="154">
        <f>19057+1047+3198+8500+595</f>
        <v>32397</v>
      </c>
      <c r="F9" s="154">
        <f>138406-8703-623</f>
        <v>129080</v>
      </c>
      <c r="G9" s="154">
        <v>336</v>
      </c>
      <c r="H9" s="154">
        <f>5420+2011</f>
        <v>7431</v>
      </c>
      <c r="I9" s="154"/>
      <c r="J9" s="155"/>
      <c r="K9" s="156">
        <f aca="true" t="shared" si="0" ref="K9:K17">SUM(C9:J9)</f>
        <v>413554</v>
      </c>
      <c r="L9" s="153">
        <f>262213-7503+336+2518-383-11086</f>
        <v>246095</v>
      </c>
      <c r="M9" s="154">
        <f>69482+680-103-3216</f>
        <v>66843</v>
      </c>
      <c r="N9" s="154">
        <f>94888-1200+1047-3835+8500+2011-137+256-5873</f>
        <v>95657</v>
      </c>
      <c r="O9" s="155">
        <f>7272-2313</f>
        <v>4959</v>
      </c>
      <c r="P9" s="155"/>
      <c r="Q9" s="155"/>
      <c r="R9" s="157">
        <f aca="true" t="shared" si="1" ref="R9:R17">SUM(L9:Q9)</f>
        <v>413554</v>
      </c>
      <c r="S9" s="158"/>
    </row>
    <row r="10" spans="1:19" ht="23.25" customHeight="1">
      <c r="A10" s="151" t="s">
        <v>30</v>
      </c>
      <c r="B10" s="152" t="s">
        <v>366</v>
      </c>
      <c r="C10" s="153">
        <v>41400</v>
      </c>
      <c r="D10" s="154">
        <f>434489+8000</f>
        <v>442489</v>
      </c>
      <c r="E10" s="154">
        <f>2936+11000+41405</f>
        <v>55341</v>
      </c>
      <c r="F10" s="154">
        <f>76266-7660</f>
        <v>68606</v>
      </c>
      <c r="G10" s="154">
        <v>1860</v>
      </c>
      <c r="H10" s="154">
        <f>4037+4223+4895</f>
        <v>13155</v>
      </c>
      <c r="I10" s="154"/>
      <c r="J10" s="155"/>
      <c r="K10" s="156">
        <f t="shared" si="0"/>
        <v>622851</v>
      </c>
      <c r="L10" s="153">
        <f>289248-6600+2312+12620+450</f>
        <v>298030</v>
      </c>
      <c r="M10" s="154">
        <f>75477+624+3408+110</f>
        <v>79619</v>
      </c>
      <c r="N10" s="154">
        <f>165130-1060+1954+11000+4223+13065-450-110</f>
        <v>193752</v>
      </c>
      <c r="O10" s="155">
        <f>22300+3943+11312+3895</f>
        <v>41450</v>
      </c>
      <c r="P10" s="155">
        <f>8000+2000</f>
        <v>10000</v>
      </c>
      <c r="Q10" s="155"/>
      <c r="R10" s="157">
        <f t="shared" si="1"/>
        <v>622851</v>
      </c>
      <c r="S10" s="158"/>
    </row>
    <row r="11" spans="1:19" ht="23.25" customHeight="1">
      <c r="A11" s="151" t="s">
        <v>32</v>
      </c>
      <c r="B11" s="159" t="s">
        <v>367</v>
      </c>
      <c r="C11" s="153"/>
      <c r="D11" s="154">
        <v>79380</v>
      </c>
      <c r="E11" s="154">
        <v>41405</v>
      </c>
      <c r="F11" s="154"/>
      <c r="G11" s="154"/>
      <c r="H11" s="154"/>
      <c r="I11" s="154"/>
      <c r="J11" s="155"/>
      <c r="K11" s="156">
        <f t="shared" si="0"/>
        <v>120785</v>
      </c>
      <c r="L11" s="153">
        <f>18411+12620</f>
        <v>31031</v>
      </c>
      <c r="M11" s="154">
        <f>4971+3408</f>
        <v>8379</v>
      </c>
      <c r="N11" s="154">
        <f>32698+12065</f>
        <v>44763</v>
      </c>
      <c r="O11" s="155">
        <f>15300+11312</f>
        <v>26612</v>
      </c>
      <c r="P11" s="155">
        <f>8000+2000</f>
        <v>10000</v>
      </c>
      <c r="Q11" s="155"/>
      <c r="R11" s="157">
        <f t="shared" si="1"/>
        <v>120785</v>
      </c>
      <c r="S11" s="158"/>
    </row>
    <row r="12" spans="1:19" ht="23.25" customHeight="1">
      <c r="A12" s="151" t="s">
        <v>34</v>
      </c>
      <c r="B12" s="152" t="s">
        <v>368</v>
      </c>
      <c r="C12" s="153">
        <v>4350</v>
      </c>
      <c r="D12" s="154">
        <v>307362</v>
      </c>
      <c r="E12" s="154">
        <f>2105+5000</f>
        <v>7105</v>
      </c>
      <c r="F12" s="154">
        <f>62005-7914+200</f>
        <v>54291</v>
      </c>
      <c r="G12" s="154">
        <v>12494</v>
      </c>
      <c r="H12" s="154">
        <f>14233+12035+11477</f>
        <v>37745</v>
      </c>
      <c r="I12" s="154">
        <f>2200+3762</f>
        <v>5962</v>
      </c>
      <c r="J12" s="155"/>
      <c r="K12" s="156">
        <f t="shared" si="0"/>
        <v>429309</v>
      </c>
      <c r="L12" s="153">
        <f>238484-6822+7562+1658+2190</f>
        <v>243072</v>
      </c>
      <c r="M12" s="154">
        <f>62778+780+447</f>
        <v>64005</v>
      </c>
      <c r="N12" s="154">
        <f>77592-1092+9640+5000+1268+200</f>
        <v>92608</v>
      </c>
      <c r="O12" s="155">
        <f>9096+6547+8019</f>
        <v>23662</v>
      </c>
      <c r="P12" s="155">
        <f>2200+3762</f>
        <v>5962</v>
      </c>
      <c r="Q12" s="155"/>
      <c r="R12" s="157">
        <f t="shared" si="1"/>
        <v>429309</v>
      </c>
      <c r="S12" s="158"/>
    </row>
    <row r="13" spans="1:19" ht="23.25" customHeight="1">
      <c r="A13" s="151" t="s">
        <v>36</v>
      </c>
      <c r="B13" s="152" t="s">
        <v>63</v>
      </c>
      <c r="C13" s="153">
        <f>'5.sz.Részben ön.'!C13</f>
        <v>126992</v>
      </c>
      <c r="D13" s="154">
        <f>'5.sz.Részben ön.'!D13</f>
        <v>452079</v>
      </c>
      <c r="E13" s="154">
        <f>'5.sz.Részben ön.'!E13</f>
        <v>127457</v>
      </c>
      <c r="F13" s="154">
        <f>'5.sz.Részben ön.'!F13</f>
        <v>469781</v>
      </c>
      <c r="G13" s="154">
        <f>'5.sz.Részben ön.'!H13</f>
        <v>3578</v>
      </c>
      <c r="H13" s="154">
        <f>'5.sz.Részben ön.'!G13</f>
        <v>3450</v>
      </c>
      <c r="I13" s="154"/>
      <c r="J13" s="155"/>
      <c r="K13" s="156">
        <f t="shared" si="0"/>
        <v>1183337</v>
      </c>
      <c r="L13" s="153">
        <f>'5.sz.Részben ön.'!C28</f>
        <v>629935</v>
      </c>
      <c r="M13" s="154">
        <f>'5.sz.Részben ön.'!D28</f>
        <v>168612</v>
      </c>
      <c r="N13" s="154">
        <f>'5.sz.Részben ön.'!E28</f>
        <v>370192</v>
      </c>
      <c r="O13" s="155">
        <f>'5.sz.Részben ön.'!F28</f>
        <v>3448</v>
      </c>
      <c r="P13" s="155">
        <f>'5.sz.Részben ön.'!H28</f>
        <v>11150</v>
      </c>
      <c r="Q13" s="155"/>
      <c r="R13" s="157">
        <f t="shared" si="1"/>
        <v>1183337</v>
      </c>
      <c r="S13" s="158"/>
    </row>
    <row r="14" spans="1:19" ht="23.25" customHeight="1">
      <c r="A14" s="151" t="s">
        <v>38</v>
      </c>
      <c r="B14" s="159" t="s">
        <v>37</v>
      </c>
      <c r="C14" s="153">
        <v>2000</v>
      </c>
      <c r="D14" s="154">
        <v>5680</v>
      </c>
      <c r="E14" s="154">
        <f>282+967</f>
        <v>1249</v>
      </c>
      <c r="F14" s="154">
        <f>37719-1200-1000-270-1180</f>
        <v>34069</v>
      </c>
      <c r="G14" s="154">
        <v>1534</v>
      </c>
      <c r="H14" s="154">
        <f>14437+489+140</f>
        <v>15066</v>
      </c>
      <c r="I14" s="154">
        <v>563</v>
      </c>
      <c r="J14" s="155"/>
      <c r="K14" s="156">
        <f t="shared" si="0"/>
        <v>60161</v>
      </c>
      <c r="L14" s="153">
        <f>31444-1008-1000+222+90</f>
        <v>29748</v>
      </c>
      <c r="M14" s="154">
        <f>8067-270+60+20</f>
        <v>7877</v>
      </c>
      <c r="N14" s="154">
        <f>17905+2420-192-1180+1534+1196</f>
        <v>21683</v>
      </c>
      <c r="O14" s="155"/>
      <c r="P14" s="155">
        <f>563+290</f>
        <v>853</v>
      </c>
      <c r="Q14" s="155"/>
      <c r="R14" s="157">
        <f t="shared" si="1"/>
        <v>60161</v>
      </c>
      <c r="S14" s="158"/>
    </row>
    <row r="15" spans="1:19" ht="23.25" customHeight="1">
      <c r="A15" s="151" t="s">
        <v>40</v>
      </c>
      <c r="B15" s="152" t="s">
        <v>39</v>
      </c>
      <c r="C15" s="153">
        <f>24750+4045</f>
        <v>28795</v>
      </c>
      <c r="D15" s="154">
        <v>5680</v>
      </c>
      <c r="E15" s="154">
        <f>53500+277</f>
        <v>53777</v>
      </c>
      <c r="F15" s="154">
        <f>30742-1371+600+3253-3253</f>
        <v>29971</v>
      </c>
      <c r="G15" s="154">
        <v>13818</v>
      </c>
      <c r="H15" s="154">
        <f>4500+80+325</f>
        <v>4905</v>
      </c>
      <c r="I15" s="154"/>
      <c r="J15" s="155"/>
      <c r="K15" s="156">
        <f t="shared" si="0"/>
        <v>136946</v>
      </c>
      <c r="L15" s="153">
        <f>30522-1152+6477+51+218+764</f>
        <v>36880</v>
      </c>
      <c r="M15" s="154">
        <f>7708+1330+13+59+100</f>
        <v>9210</v>
      </c>
      <c r="N15" s="154">
        <f>22942-219+63691+536+333</f>
        <v>87283</v>
      </c>
      <c r="O15" s="155"/>
      <c r="P15" s="155">
        <f>320+3253</f>
        <v>3573</v>
      </c>
      <c r="Q15" s="155"/>
      <c r="R15" s="157">
        <f t="shared" si="1"/>
        <v>136946</v>
      </c>
      <c r="S15" s="158"/>
    </row>
    <row r="16" spans="1:19" ht="23.25" customHeight="1">
      <c r="A16" s="151" t="s">
        <v>42</v>
      </c>
      <c r="B16" s="152" t="s">
        <v>369</v>
      </c>
      <c r="C16" s="153">
        <v>11666</v>
      </c>
      <c r="D16" s="154">
        <v>248382</v>
      </c>
      <c r="E16" s="154">
        <f>644+5000</f>
        <v>5644</v>
      </c>
      <c r="F16" s="154"/>
      <c r="G16" s="154">
        <v>24134</v>
      </c>
      <c r="H16" s="154"/>
      <c r="I16" s="154"/>
      <c r="J16" s="155"/>
      <c r="K16" s="156">
        <f t="shared" si="0"/>
        <v>289826</v>
      </c>
      <c r="L16" s="153">
        <f>185145+845+507</f>
        <v>186497</v>
      </c>
      <c r="M16" s="154">
        <f>46546+228+137</f>
        <v>46911</v>
      </c>
      <c r="N16" s="154">
        <f>28357+5061+5000</f>
        <v>38418</v>
      </c>
      <c r="O16" s="155"/>
      <c r="P16" s="155">
        <v>18000</v>
      </c>
      <c r="Q16" s="155"/>
      <c r="R16" s="157">
        <f t="shared" si="1"/>
        <v>289826</v>
      </c>
      <c r="S16" s="158"/>
    </row>
    <row r="17" spans="1:19" ht="23.25" customHeight="1">
      <c r="A17" s="151" t="s">
        <v>44</v>
      </c>
      <c r="B17" s="152" t="s">
        <v>370</v>
      </c>
      <c r="C17" s="153">
        <v>3450</v>
      </c>
      <c r="D17" s="154"/>
      <c r="E17" s="154"/>
      <c r="F17" s="154"/>
      <c r="G17" s="154">
        <v>949</v>
      </c>
      <c r="H17" s="154"/>
      <c r="I17" s="154"/>
      <c r="J17" s="155"/>
      <c r="K17" s="156">
        <f t="shared" si="0"/>
        <v>4399</v>
      </c>
      <c r="L17" s="153"/>
      <c r="M17" s="154"/>
      <c r="N17" s="154">
        <f>3450+949</f>
        <v>4399</v>
      </c>
      <c r="O17" s="155"/>
      <c r="P17" s="155"/>
      <c r="Q17" s="155"/>
      <c r="R17" s="157">
        <f t="shared" si="1"/>
        <v>4399</v>
      </c>
      <c r="S17" s="158"/>
    </row>
    <row r="18" spans="1:19" ht="23.25" customHeight="1">
      <c r="A18" s="151" t="s">
        <v>46</v>
      </c>
      <c r="B18" s="160" t="s">
        <v>371</v>
      </c>
      <c r="C18" s="161">
        <f aca="true" t="shared" si="2" ref="C18:R18">C9+C10+C12+C13+C14+C15+C16+C17</f>
        <v>244412</v>
      </c>
      <c r="D18" s="162">
        <f t="shared" si="2"/>
        <v>1680223</v>
      </c>
      <c r="E18" s="162">
        <f t="shared" si="2"/>
        <v>282970</v>
      </c>
      <c r="F18" s="162">
        <f t="shared" si="2"/>
        <v>785798</v>
      </c>
      <c r="G18" s="162">
        <f t="shared" si="2"/>
        <v>58703</v>
      </c>
      <c r="H18" s="162">
        <f t="shared" si="2"/>
        <v>81752</v>
      </c>
      <c r="I18" s="162">
        <f t="shared" si="2"/>
        <v>6525</v>
      </c>
      <c r="J18" s="163">
        <f t="shared" si="2"/>
        <v>0</v>
      </c>
      <c r="K18" s="162">
        <f t="shared" si="2"/>
        <v>3140383</v>
      </c>
      <c r="L18" s="161">
        <f t="shared" si="2"/>
        <v>1670257</v>
      </c>
      <c r="M18" s="162">
        <f t="shared" si="2"/>
        <v>443077</v>
      </c>
      <c r="N18" s="162">
        <f t="shared" si="2"/>
        <v>903992</v>
      </c>
      <c r="O18" s="162">
        <f t="shared" si="2"/>
        <v>73519</v>
      </c>
      <c r="P18" s="163">
        <f t="shared" si="2"/>
        <v>49538</v>
      </c>
      <c r="Q18" s="163">
        <f t="shared" si="2"/>
        <v>0</v>
      </c>
      <c r="R18" s="162">
        <f t="shared" si="2"/>
        <v>3140383</v>
      </c>
      <c r="S18" s="158"/>
    </row>
    <row r="19" spans="1:19" ht="23.25" customHeight="1">
      <c r="A19" s="151" t="s">
        <v>48</v>
      </c>
      <c r="B19" s="164" t="s">
        <v>372</v>
      </c>
      <c r="C19" s="165">
        <v>102000</v>
      </c>
      <c r="D19" s="166"/>
      <c r="E19" s="166">
        <f>4179+10187</f>
        <v>14366</v>
      </c>
      <c r="F19" s="166"/>
      <c r="G19" s="166">
        <v>868510</v>
      </c>
      <c r="H19" s="166">
        <v>3610000</v>
      </c>
      <c r="I19" s="166">
        <v>42000</v>
      </c>
      <c r="J19" s="167"/>
      <c r="K19" s="157">
        <f>SUM(C19:J19)</f>
        <v>4636876</v>
      </c>
      <c r="L19" s="165">
        <f>1960722+3291+8021</f>
        <v>1972034</v>
      </c>
      <c r="M19" s="166">
        <f>555863+888+2166</f>
        <v>558917</v>
      </c>
      <c r="N19" s="166">
        <f>1181775+13640+266395</f>
        <v>1461810</v>
      </c>
      <c r="O19" s="167"/>
      <c r="P19" s="167">
        <f>42000+602115</f>
        <v>644115</v>
      </c>
      <c r="Q19" s="167"/>
      <c r="R19" s="157">
        <f>SUM(L19:Q19)</f>
        <v>4636876</v>
      </c>
      <c r="S19" s="158"/>
    </row>
    <row r="20" spans="1:19" ht="23.25" customHeight="1">
      <c r="A20" s="151" t="s">
        <v>50</v>
      </c>
      <c r="B20" s="168" t="s">
        <v>373</v>
      </c>
      <c r="C20" s="169">
        <v>3700</v>
      </c>
      <c r="D20" s="170"/>
      <c r="E20" s="170">
        <v>593</v>
      </c>
      <c r="F20" s="170">
        <v>8000</v>
      </c>
      <c r="G20" s="170">
        <v>34149</v>
      </c>
      <c r="H20" s="170">
        <v>120300</v>
      </c>
      <c r="I20" s="170"/>
      <c r="J20" s="171"/>
      <c r="K20" s="172">
        <f>SUM(C20:J20)</f>
        <v>166742</v>
      </c>
      <c r="L20" s="169">
        <f>60349+7500+467</f>
        <v>68316</v>
      </c>
      <c r="M20" s="170">
        <f>15200+2000+126</f>
        <v>17326</v>
      </c>
      <c r="N20" s="170">
        <f>56451+24649</f>
        <v>81100</v>
      </c>
      <c r="O20" s="171"/>
      <c r="P20" s="171"/>
      <c r="Q20" s="171"/>
      <c r="R20" s="172">
        <f>SUM(L20:Q20)</f>
        <v>166742</v>
      </c>
      <c r="S20" s="158"/>
    </row>
    <row r="21" spans="1:19" ht="23.25" customHeight="1">
      <c r="A21" s="151" t="s">
        <v>52</v>
      </c>
      <c r="B21" s="173" t="s">
        <v>374</v>
      </c>
      <c r="C21" s="174">
        <f aca="true" t="shared" si="3" ref="C21:N21">SUM(C19:C20)</f>
        <v>105700</v>
      </c>
      <c r="D21" s="175">
        <f t="shared" si="3"/>
        <v>0</v>
      </c>
      <c r="E21" s="175">
        <f t="shared" si="3"/>
        <v>14959</v>
      </c>
      <c r="F21" s="175">
        <f t="shared" si="3"/>
        <v>8000</v>
      </c>
      <c r="G21" s="175">
        <f t="shared" si="3"/>
        <v>902659</v>
      </c>
      <c r="H21" s="175">
        <f t="shared" si="3"/>
        <v>3730300</v>
      </c>
      <c r="I21" s="175">
        <f t="shared" si="3"/>
        <v>42000</v>
      </c>
      <c r="J21" s="176">
        <f t="shared" si="3"/>
        <v>0</v>
      </c>
      <c r="K21" s="175">
        <f t="shared" si="3"/>
        <v>4803618</v>
      </c>
      <c r="L21" s="174">
        <f t="shared" si="3"/>
        <v>2040350</v>
      </c>
      <c r="M21" s="175">
        <f t="shared" si="3"/>
        <v>576243</v>
      </c>
      <c r="N21" s="175">
        <f t="shared" si="3"/>
        <v>1542910</v>
      </c>
      <c r="O21" s="176"/>
      <c r="P21" s="176">
        <f>SUM(P19:P20)</f>
        <v>644115</v>
      </c>
      <c r="Q21" s="176">
        <f>SUM(Q19:Q20)</f>
        <v>0</v>
      </c>
      <c r="R21" s="175">
        <f>SUM(R19:R20)</f>
        <v>4803618</v>
      </c>
      <c r="S21" s="158"/>
    </row>
    <row r="22" spans="1:19" ht="23.25" customHeight="1">
      <c r="A22" s="151" t="s">
        <v>54</v>
      </c>
      <c r="B22" s="164" t="s">
        <v>49</v>
      </c>
      <c r="C22" s="165">
        <f>46300+984700</f>
        <v>1031000</v>
      </c>
      <c r="D22" s="166">
        <f>535045-742-8724+8724-3302</f>
        <v>531001</v>
      </c>
      <c r="E22" s="166">
        <f>5213+580+53500+166303-580+1100+137332+28514+250-1+967+1082+41405</f>
        <v>435665</v>
      </c>
      <c r="F22" s="166"/>
      <c r="G22" s="166">
        <f>228411+726205</f>
        <v>954616</v>
      </c>
      <c r="H22" s="166">
        <f>54000+284745+85147+420+6948+17317+15054+49003-134466-1100+74419+610</f>
        <v>452097</v>
      </c>
      <c r="I22" s="166">
        <f>1683778+50000+39760+183160+1050+53489+10000+17966+41238+390</f>
        <v>2080831</v>
      </c>
      <c r="J22" s="167">
        <f>673156+63637-8150+1850-117092-1270-1180-362577+362577+180000-1034-15054+463+9-49003+22000-49943-36062+1+3302+200</f>
        <v>665830</v>
      </c>
      <c r="K22" s="157">
        <f>SUM(C22:J22)</f>
        <v>6151040</v>
      </c>
      <c r="L22" s="165">
        <f>'6.sz.Szakfela.'!D20</f>
        <v>447713</v>
      </c>
      <c r="M22" s="166">
        <f>'6.sz.Szakfela.'!E20</f>
        <v>100858</v>
      </c>
      <c r="N22" s="166">
        <f>'6.sz.Szakfela.'!F20+'6.sz.Szakfela.'!G20+'6.sz.Szakfela.'!I21</f>
        <v>1020017</v>
      </c>
      <c r="O22" s="167"/>
      <c r="P22" s="167">
        <f>2028276+63637-4800-8750+719594+6611+53489+1050+17966+211+390-8000</f>
        <v>2869674</v>
      </c>
      <c r="Q22" s="167">
        <f>92196+163637+362577</f>
        <v>618410</v>
      </c>
      <c r="R22" s="157">
        <f>SUM(L22:Q22)</f>
        <v>5056672</v>
      </c>
      <c r="S22" s="158"/>
    </row>
    <row r="23" spans="1:19" ht="23.25" customHeight="1">
      <c r="A23" s="151" t="s">
        <v>56</v>
      </c>
      <c r="B23" s="164" t="s">
        <v>49</v>
      </c>
      <c r="C23" s="177"/>
      <c r="D23" s="178"/>
      <c r="E23" s="178"/>
      <c r="F23" s="178"/>
      <c r="G23" s="178"/>
      <c r="H23" s="178"/>
      <c r="I23" s="178"/>
      <c r="J23" s="179"/>
      <c r="K23" s="180"/>
      <c r="L23" s="177"/>
      <c r="M23" s="178"/>
      <c r="N23" s="178">
        <f>SUM(E18:F20)+2270+9+150+212</f>
        <v>1094368</v>
      </c>
      <c r="O23" s="179"/>
      <c r="P23" s="179"/>
      <c r="Q23" s="179"/>
      <c r="R23" s="156">
        <f>SUM(L23:Q23)</f>
        <v>1094368</v>
      </c>
      <c r="S23" s="158"/>
    </row>
    <row r="24" spans="1:19" ht="22.5" customHeight="1">
      <c r="A24" s="151" t="s">
        <v>57</v>
      </c>
      <c r="B24" s="181" t="s">
        <v>58</v>
      </c>
      <c r="C24" s="182">
        <f aca="true" t="shared" si="4" ref="C24:M24">SUM(C18+C21+C22)</f>
        <v>1381112</v>
      </c>
      <c r="D24" s="183">
        <f t="shared" si="4"/>
        <v>2211224</v>
      </c>
      <c r="E24" s="183">
        <f t="shared" si="4"/>
        <v>733594</v>
      </c>
      <c r="F24" s="183">
        <f t="shared" si="4"/>
        <v>793798</v>
      </c>
      <c r="G24" s="183">
        <f t="shared" si="4"/>
        <v>1915978</v>
      </c>
      <c r="H24" s="183">
        <f t="shared" si="4"/>
        <v>4264149</v>
      </c>
      <c r="I24" s="183">
        <f t="shared" si="4"/>
        <v>2129356</v>
      </c>
      <c r="J24" s="184">
        <f t="shared" si="4"/>
        <v>665830</v>
      </c>
      <c r="K24" s="183">
        <f t="shared" si="4"/>
        <v>14095041</v>
      </c>
      <c r="L24" s="182">
        <f t="shared" si="4"/>
        <v>4158320</v>
      </c>
      <c r="M24" s="183">
        <f t="shared" si="4"/>
        <v>1120178</v>
      </c>
      <c r="N24" s="183">
        <f>SUM(N18+N21+N22+N23)</f>
        <v>4561287</v>
      </c>
      <c r="O24" s="183">
        <f>SUM(O18+O21+O22)</f>
        <v>73519</v>
      </c>
      <c r="P24" s="184">
        <f>SUM(P18+P21+P22)</f>
        <v>3563327</v>
      </c>
      <c r="Q24" s="184">
        <f>SUM(Q18+Q21+Q22)</f>
        <v>618410</v>
      </c>
      <c r="R24" s="183">
        <f>SUM(R18+R21+R22+R23)</f>
        <v>14095041</v>
      </c>
      <c r="S24" s="158"/>
    </row>
    <row r="25" spans="1:19" ht="23.25" customHeight="1">
      <c r="A25" s="151" t="s">
        <v>62</v>
      </c>
      <c r="B25" s="185" t="s">
        <v>375</v>
      </c>
      <c r="C25" s="153">
        <v>22</v>
      </c>
      <c r="D25" s="154"/>
      <c r="E25" s="154">
        <f>420+150+150+299+299</f>
        <v>1318</v>
      </c>
      <c r="F25" s="154">
        <f>1850+9+212+10</f>
        <v>2081</v>
      </c>
      <c r="G25" s="154"/>
      <c r="H25" s="154"/>
      <c r="I25" s="154"/>
      <c r="J25" s="155"/>
      <c r="K25" s="186">
        <f>SUM(C25:J25)</f>
        <v>3421</v>
      </c>
      <c r="L25" s="187"/>
      <c r="M25" s="154"/>
      <c r="N25" s="154">
        <f>2270+9+212+150+481+299</f>
        <v>3421</v>
      </c>
      <c r="O25" s="155"/>
      <c r="P25" s="155"/>
      <c r="Q25" s="155"/>
      <c r="R25" s="156">
        <f>SUM(L25:Q25)</f>
        <v>3421</v>
      </c>
      <c r="S25" s="158"/>
    </row>
    <row r="26" spans="1:19" ht="22.5" customHeight="1">
      <c r="A26" s="151" t="s">
        <v>64</v>
      </c>
      <c r="B26" s="188" t="s">
        <v>376</v>
      </c>
      <c r="C26" s="189">
        <f aca="true" t="shared" si="5" ref="C26:R26">SUM(C24:C25)</f>
        <v>1381134</v>
      </c>
      <c r="D26" s="190">
        <f t="shared" si="5"/>
        <v>2211224</v>
      </c>
      <c r="E26" s="190">
        <f t="shared" si="5"/>
        <v>734912</v>
      </c>
      <c r="F26" s="190">
        <f t="shared" si="5"/>
        <v>795879</v>
      </c>
      <c r="G26" s="190">
        <f t="shared" si="5"/>
        <v>1915978</v>
      </c>
      <c r="H26" s="190">
        <f t="shared" si="5"/>
        <v>4264149</v>
      </c>
      <c r="I26" s="190">
        <f t="shared" si="5"/>
        <v>2129356</v>
      </c>
      <c r="J26" s="191">
        <f t="shared" si="5"/>
        <v>665830</v>
      </c>
      <c r="K26" s="190">
        <f t="shared" si="5"/>
        <v>14098462</v>
      </c>
      <c r="L26" s="189">
        <f t="shared" si="5"/>
        <v>4158320</v>
      </c>
      <c r="M26" s="190">
        <f t="shared" si="5"/>
        <v>1120178</v>
      </c>
      <c r="N26" s="190">
        <f t="shared" si="5"/>
        <v>4564708</v>
      </c>
      <c r="O26" s="190">
        <f t="shared" si="5"/>
        <v>73519</v>
      </c>
      <c r="P26" s="191">
        <f t="shared" si="5"/>
        <v>3563327</v>
      </c>
      <c r="Q26" s="191">
        <f t="shared" si="5"/>
        <v>618410</v>
      </c>
      <c r="R26" s="190">
        <f t="shared" si="5"/>
        <v>14098462</v>
      </c>
      <c r="S26" s="158"/>
    </row>
    <row r="27" spans="2:18" ht="14.25">
      <c r="B27" s="192"/>
      <c r="H27" s="192"/>
      <c r="K27" s="193">
        <v>-1094368</v>
      </c>
      <c r="L27" s="158"/>
      <c r="R27" s="193">
        <v>-1094368</v>
      </c>
    </row>
    <row r="28" spans="2:18" ht="12.75">
      <c r="B28" s="192"/>
      <c r="C28" s="158"/>
      <c r="D28" s="158"/>
      <c r="E28" s="158"/>
      <c r="F28" s="158"/>
      <c r="G28" s="158"/>
      <c r="H28" s="158"/>
      <c r="I28" s="194"/>
      <c r="J28" s="194"/>
      <c r="K28" s="195">
        <f>SUM(K26:K27)</f>
        <v>13004094</v>
      </c>
      <c r="L28" s="158"/>
      <c r="M28" s="158"/>
      <c r="N28" s="158"/>
      <c r="O28" s="158"/>
      <c r="P28" s="158"/>
      <c r="Q28" s="158"/>
      <c r="R28" s="195">
        <f>SUM(R26:R27)</f>
        <v>13004094</v>
      </c>
    </row>
    <row r="29" spans="2:18" ht="12.75">
      <c r="B29" s="192"/>
      <c r="C29" s="158"/>
      <c r="D29" s="158"/>
      <c r="E29" s="158"/>
      <c r="F29" s="158"/>
      <c r="G29" s="158"/>
      <c r="H29" s="158"/>
      <c r="I29" s="158"/>
      <c r="J29" s="158"/>
      <c r="K29" s="158"/>
      <c r="L29" s="192"/>
      <c r="M29" s="158"/>
      <c r="N29" s="158"/>
      <c r="O29" s="158"/>
      <c r="P29" s="158"/>
      <c r="Q29" s="158"/>
      <c r="R29" s="158"/>
    </row>
    <row r="30" spans="2:18" ht="12.75">
      <c r="B30" s="192"/>
      <c r="G30" s="192"/>
      <c r="H30" s="158"/>
      <c r="J30" s="158"/>
      <c r="K30" s="158">
        <v>22247</v>
      </c>
      <c r="R30" s="158"/>
    </row>
    <row r="31" spans="8:13" ht="12.75">
      <c r="H31" s="158"/>
      <c r="I31" s="192"/>
      <c r="J31" s="195"/>
      <c r="M31" s="192"/>
    </row>
    <row r="32" ht="12.75">
      <c r="J32" s="158"/>
    </row>
    <row r="33" spans="8:18" ht="12.75">
      <c r="H33" s="192"/>
      <c r="R33" s="192"/>
    </row>
    <row r="34" ht="12.75">
      <c r="R34" s="192"/>
    </row>
    <row r="38" ht="12.75">
      <c r="I38" s="192" t="s">
        <v>377</v>
      </c>
    </row>
  </sheetData>
  <mergeCells count="4">
    <mergeCell ref="P1:R1"/>
    <mergeCell ref="P4:R4"/>
    <mergeCell ref="C7:K7"/>
    <mergeCell ref="L7:R7"/>
  </mergeCells>
  <printOptions/>
  <pageMargins left="0.39375" right="0.19652777777777777" top="0.9840277777777778" bottom="0.9840277777777777" header="0.7083333333333334" footer="0.5118055555555555"/>
  <pageSetup horizontalDpi="300" verticalDpi="300" orientation="landscape" paperSize="9" scale="80" r:id="rId1"/>
  <headerFooter alignWithMargins="0">
    <oddHeader xml:space="preserve">&amp;L&amp;8 4. melléklet a…/….(….) önkormányzati rendelethez&amp;C&amp;"Arial CE,Félkövér"&amp;11Az  önállóan működő és gazdálkodó intézmények tervezett 
 bevételei és kiadásai&amp;R&amp;8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4"/>
  <dimension ref="A1:M788"/>
  <sheetViews>
    <sheetView zoomScaleSheetLayoutView="75" workbookViewId="0" topLeftCell="A4">
      <pane ySplit="1" topLeftCell="BM4" activePane="bottomLeft" state="split"/>
      <selection pane="topLeft" activeCell="J21" sqref="J21"/>
      <selection pane="bottomLeft" activeCell="G16" sqref="G16"/>
    </sheetView>
  </sheetViews>
  <sheetFormatPr defaultColWidth="9.00390625" defaultRowHeight="12.75"/>
  <cols>
    <col min="1" max="1" width="3.875" style="198" customWidth="1"/>
    <col min="2" max="2" width="32.75390625" style="198" customWidth="1"/>
    <col min="3" max="3" width="8.75390625" style="198" customWidth="1"/>
    <col min="4" max="4" width="9.25390625" style="198" customWidth="1"/>
    <col min="5" max="5" width="9.875" style="198" customWidth="1"/>
    <col min="6" max="6" width="9.75390625" style="198" customWidth="1"/>
    <col min="7" max="7" width="9.125" style="198" customWidth="1"/>
    <col min="8" max="8" width="8.625" style="198" customWidth="1"/>
    <col min="9" max="9" width="9.00390625" style="198" customWidth="1"/>
    <col min="10" max="10" width="10.00390625" style="198" customWidth="1"/>
    <col min="11" max="16384" width="9.125" style="198" customWidth="1"/>
  </cols>
  <sheetData>
    <row r="1" spans="1:10" ht="15">
      <c r="A1" s="196" t="s">
        <v>378</v>
      </c>
      <c r="B1" s="196"/>
      <c r="C1" s="197"/>
      <c r="D1" s="197"/>
      <c r="E1" s="197"/>
      <c r="F1" s="197"/>
      <c r="G1" s="197"/>
      <c r="H1" s="197"/>
      <c r="I1" s="197"/>
      <c r="J1" s="197"/>
    </row>
    <row r="2" spans="2:10" ht="13.5" thickBot="1">
      <c r="B2" s="197"/>
      <c r="C2" s="197"/>
      <c r="D2" s="197"/>
      <c r="E2" s="197"/>
      <c r="F2" s="197"/>
      <c r="G2" s="197"/>
      <c r="H2" s="197"/>
      <c r="I2" s="197" t="s">
        <v>87</v>
      </c>
      <c r="J2" s="197"/>
    </row>
    <row r="3" spans="1:10" ht="13.5" thickBot="1">
      <c r="A3" s="419"/>
      <c r="B3" s="411" t="s">
        <v>2</v>
      </c>
      <c r="C3" s="412" t="s">
        <v>88</v>
      </c>
      <c r="D3" s="412" t="s">
        <v>4</v>
      </c>
      <c r="E3" s="412" t="s">
        <v>5</v>
      </c>
      <c r="F3" s="412" t="s">
        <v>6</v>
      </c>
      <c r="G3" s="412" t="s">
        <v>7</v>
      </c>
      <c r="H3" s="412" t="s">
        <v>8</v>
      </c>
      <c r="I3" s="412" t="s">
        <v>9</v>
      </c>
      <c r="J3" s="413" t="s">
        <v>10</v>
      </c>
    </row>
    <row r="4" spans="1:10" ht="39" customHeight="1" thickBot="1">
      <c r="A4" s="420"/>
      <c r="B4" s="417" t="s">
        <v>379</v>
      </c>
      <c r="C4" s="409" t="s">
        <v>380</v>
      </c>
      <c r="D4" s="409" t="s">
        <v>355</v>
      </c>
      <c r="E4" s="409" t="s">
        <v>356</v>
      </c>
      <c r="F4" s="409" t="s">
        <v>381</v>
      </c>
      <c r="G4" s="409" t="s">
        <v>382</v>
      </c>
      <c r="H4" s="409" t="s">
        <v>383</v>
      </c>
      <c r="I4" s="409" t="s">
        <v>384</v>
      </c>
      <c r="J4" s="410" t="s">
        <v>58</v>
      </c>
    </row>
    <row r="5" spans="1:10" ht="15" customHeight="1">
      <c r="A5" s="421" t="s">
        <v>28</v>
      </c>
      <c r="B5" s="199" t="s">
        <v>385</v>
      </c>
      <c r="C5" s="200"/>
      <c r="D5" s="200">
        <f>140118+203-1327-717-3850</f>
        <v>134427</v>
      </c>
      <c r="E5" s="200">
        <f>5712+2048+705+2382+205</f>
        <v>11052</v>
      </c>
      <c r="F5" s="200">
        <f>109235-6545</f>
        <v>102690</v>
      </c>
      <c r="G5" s="200">
        <v>250</v>
      </c>
      <c r="H5" s="200"/>
      <c r="I5" s="200"/>
      <c r="J5" s="414">
        <f aca="true" t="shared" si="0" ref="J5:J12">SUM(C5:I5)</f>
        <v>248419</v>
      </c>
    </row>
    <row r="6" spans="1:10" ht="15" customHeight="1">
      <c r="A6" s="421" t="s">
        <v>30</v>
      </c>
      <c r="B6" s="201" t="s">
        <v>66</v>
      </c>
      <c r="C6" s="202">
        <v>700</v>
      </c>
      <c r="D6" s="202">
        <f>86802-452-239</f>
        <v>86111</v>
      </c>
      <c r="E6" s="202">
        <f>987+256</f>
        <v>1243</v>
      </c>
      <c r="F6" s="202">
        <f>54832-2986</f>
        <v>51846</v>
      </c>
      <c r="G6" s="202"/>
      <c r="H6" s="202"/>
      <c r="I6" s="202"/>
      <c r="J6" s="415">
        <f t="shared" si="0"/>
        <v>139900</v>
      </c>
    </row>
    <row r="7" spans="1:10" ht="15" customHeight="1">
      <c r="A7" s="421" t="s">
        <v>32</v>
      </c>
      <c r="B7" s="201" t="s">
        <v>69</v>
      </c>
      <c r="C7" s="202">
        <v>1300</v>
      </c>
      <c r="D7" s="202">
        <f>36083-169-478</f>
        <v>35436</v>
      </c>
      <c r="E7" s="202">
        <f>380+26</f>
        <v>406</v>
      </c>
      <c r="F7" s="202">
        <f>29539+981</f>
        <v>30520</v>
      </c>
      <c r="G7" s="202"/>
      <c r="H7" s="202"/>
      <c r="I7" s="202"/>
      <c r="J7" s="415">
        <f t="shared" si="0"/>
        <v>67662</v>
      </c>
    </row>
    <row r="8" spans="1:10" ht="15" customHeight="1">
      <c r="A8" s="421" t="s">
        <v>34</v>
      </c>
      <c r="B8" s="201" t="s">
        <v>386</v>
      </c>
      <c r="C8" s="202">
        <v>3901</v>
      </c>
      <c r="D8" s="202">
        <f>30697-95</f>
        <v>30602</v>
      </c>
      <c r="E8" s="202">
        <v>503</v>
      </c>
      <c r="F8" s="202">
        <f>25267-1129</f>
        <v>24138</v>
      </c>
      <c r="G8" s="202"/>
      <c r="H8" s="202"/>
      <c r="I8" s="202"/>
      <c r="J8" s="415">
        <f t="shared" si="0"/>
        <v>59144</v>
      </c>
    </row>
    <row r="9" spans="1:10" ht="15" customHeight="1">
      <c r="A9" s="421" t="s">
        <v>36</v>
      </c>
      <c r="B9" s="201" t="s">
        <v>84</v>
      </c>
      <c r="C9" s="202"/>
      <c r="D9" s="202">
        <v>10894</v>
      </c>
      <c r="E9" s="202">
        <f>34093+15565+463+67</f>
        <v>50188</v>
      </c>
      <c r="F9" s="202"/>
      <c r="G9" s="202">
        <f>600+2600</f>
        <v>3200</v>
      </c>
      <c r="H9" s="202">
        <v>3578</v>
      </c>
      <c r="I9" s="202"/>
      <c r="J9" s="415">
        <f t="shared" si="0"/>
        <v>67860</v>
      </c>
    </row>
    <row r="10" spans="1:10" ht="15" customHeight="1">
      <c r="A10" s="421" t="s">
        <v>38</v>
      </c>
      <c r="B10" s="201" t="s">
        <v>78</v>
      </c>
      <c r="C10" s="202">
        <v>14445</v>
      </c>
      <c r="D10" s="202">
        <f>20887-3305</f>
        <v>17582</v>
      </c>
      <c r="E10" s="202">
        <v>210</v>
      </c>
      <c r="F10" s="202">
        <f>17524-1296</f>
        <v>16228</v>
      </c>
      <c r="G10" s="202"/>
      <c r="H10" s="202"/>
      <c r="I10" s="202"/>
      <c r="J10" s="415">
        <f t="shared" si="0"/>
        <v>48465</v>
      </c>
    </row>
    <row r="11" spans="1:10" ht="15" customHeight="1">
      <c r="A11" s="421" t="s">
        <v>40</v>
      </c>
      <c r="B11" s="201" t="s">
        <v>387</v>
      </c>
      <c r="C11" s="202">
        <v>28626</v>
      </c>
      <c r="D11" s="202">
        <f>130907+6120</f>
        <v>137027</v>
      </c>
      <c r="E11" s="202">
        <f>26285+8235-160+654</f>
        <v>35014</v>
      </c>
      <c r="F11" s="202">
        <f>30197-6434</f>
        <v>23763</v>
      </c>
      <c r="G11" s="202"/>
      <c r="H11" s="202"/>
      <c r="I11" s="202"/>
      <c r="J11" s="415">
        <f t="shared" si="0"/>
        <v>224430</v>
      </c>
    </row>
    <row r="12" spans="1:13" ht="15" customHeight="1" thickBot="1">
      <c r="A12" s="421" t="s">
        <v>42</v>
      </c>
      <c r="B12" s="203" t="s">
        <v>388</v>
      </c>
      <c r="C12" s="204">
        <v>78020</v>
      </c>
      <c r="D12" s="204"/>
      <c r="E12" s="204">
        <f>891+27950</f>
        <v>28841</v>
      </c>
      <c r="F12" s="204">
        <v>220596</v>
      </c>
      <c r="G12" s="204"/>
      <c r="H12" s="204"/>
      <c r="I12" s="204"/>
      <c r="J12" s="416">
        <f t="shared" si="0"/>
        <v>327457</v>
      </c>
      <c r="M12" s="205"/>
    </row>
    <row r="13" spans="1:10" ht="15.75" customHeight="1" thickBot="1">
      <c r="A13" s="422" t="s">
        <v>44</v>
      </c>
      <c r="B13" s="418" t="s">
        <v>58</v>
      </c>
      <c r="C13" s="407">
        <f aca="true" t="shared" si="1" ref="C13:J13">SUM(C5:C12)</f>
        <v>126992</v>
      </c>
      <c r="D13" s="407">
        <f t="shared" si="1"/>
        <v>452079</v>
      </c>
      <c r="E13" s="407">
        <f t="shared" si="1"/>
        <v>127457</v>
      </c>
      <c r="F13" s="407">
        <f t="shared" si="1"/>
        <v>469781</v>
      </c>
      <c r="G13" s="407">
        <f t="shared" si="1"/>
        <v>3450</v>
      </c>
      <c r="H13" s="407">
        <f t="shared" si="1"/>
        <v>3578</v>
      </c>
      <c r="I13" s="407">
        <f t="shared" si="1"/>
        <v>0</v>
      </c>
      <c r="J13" s="408">
        <f t="shared" si="1"/>
        <v>1183337</v>
      </c>
    </row>
    <row r="14" spans="2:10" ht="15.75" customHeight="1">
      <c r="B14" s="206"/>
      <c r="C14" s="207"/>
      <c r="D14" s="207"/>
      <c r="E14" s="207"/>
      <c r="F14" s="207"/>
      <c r="G14" s="207"/>
      <c r="H14" s="207"/>
      <c r="I14" s="207"/>
      <c r="J14" s="207"/>
    </row>
    <row r="15" spans="2:10" ht="12.75">
      <c r="B15" s="197"/>
      <c r="C15" s="197"/>
      <c r="D15" s="197"/>
      <c r="E15" s="197"/>
      <c r="F15" s="197"/>
      <c r="G15" s="197"/>
      <c r="H15" s="197"/>
      <c r="I15" s="197"/>
      <c r="J15" s="197"/>
    </row>
    <row r="16" spans="1:10" ht="15">
      <c r="A16" s="196" t="s">
        <v>389</v>
      </c>
      <c r="B16" s="196"/>
      <c r="C16" s="197"/>
      <c r="D16" s="197"/>
      <c r="E16" s="197"/>
      <c r="F16" s="197"/>
      <c r="G16" s="197"/>
      <c r="H16" s="197"/>
      <c r="I16" s="197"/>
      <c r="J16" s="197"/>
    </row>
    <row r="17" spans="2:10" ht="13.5" thickBot="1">
      <c r="B17" s="208"/>
      <c r="C17" s="197"/>
      <c r="D17" s="197"/>
      <c r="E17" s="197"/>
      <c r="F17" s="197"/>
      <c r="G17" s="197"/>
      <c r="H17" s="197"/>
      <c r="I17" s="197" t="s">
        <v>87</v>
      </c>
      <c r="J17" s="197"/>
    </row>
    <row r="18" spans="1:10" ht="13.5" thickBot="1">
      <c r="A18" s="419"/>
      <c r="B18" s="411" t="s">
        <v>2</v>
      </c>
      <c r="C18" s="412" t="s">
        <v>88</v>
      </c>
      <c r="D18" s="412" t="s">
        <v>4</v>
      </c>
      <c r="E18" s="412" t="s">
        <v>5</v>
      </c>
      <c r="F18" s="412" t="s">
        <v>6</v>
      </c>
      <c r="G18" s="412" t="s">
        <v>7</v>
      </c>
      <c r="H18" s="412" t="s">
        <v>8</v>
      </c>
      <c r="I18" s="413" t="s">
        <v>9</v>
      </c>
      <c r="J18" s="197"/>
    </row>
    <row r="19" spans="1:9" ht="48.75" thickBot="1">
      <c r="A19" s="420"/>
      <c r="B19" s="417" t="s">
        <v>379</v>
      </c>
      <c r="C19" s="409" t="s">
        <v>390</v>
      </c>
      <c r="D19" s="409" t="s">
        <v>391</v>
      </c>
      <c r="E19" s="409" t="s">
        <v>392</v>
      </c>
      <c r="F19" s="409" t="s">
        <v>393</v>
      </c>
      <c r="G19" s="409" t="s">
        <v>361</v>
      </c>
      <c r="H19" s="409" t="s">
        <v>394</v>
      </c>
      <c r="I19" s="410" t="s">
        <v>58</v>
      </c>
    </row>
    <row r="20" spans="1:10" ht="15" customHeight="1">
      <c r="A20" s="421" t="s">
        <v>46</v>
      </c>
      <c r="B20" s="199" t="s">
        <v>385</v>
      </c>
      <c r="C20" s="200">
        <f>175334-5498+50+1876-3032</f>
        <v>168730</v>
      </c>
      <c r="D20" s="200">
        <f>45714+13+506-818</f>
        <v>45415</v>
      </c>
      <c r="E20" s="200">
        <f>36065-1047+892+203-1327-512</f>
        <v>34274</v>
      </c>
      <c r="F20" s="200"/>
      <c r="G20" s="200"/>
      <c r="H20" s="200"/>
      <c r="I20" s="414">
        <f aca="true" t="shared" si="2" ref="I20:I27">SUM(C20:H20)</f>
        <v>248419</v>
      </c>
      <c r="J20" s="209"/>
    </row>
    <row r="21" spans="1:10" ht="15" customHeight="1">
      <c r="A21" s="421" t="s">
        <v>48</v>
      </c>
      <c r="B21" s="201" t="s">
        <v>66</v>
      </c>
      <c r="C21" s="202">
        <f>91680-2508+777</f>
        <v>89949</v>
      </c>
      <c r="D21" s="202">
        <f>23486+210</f>
        <v>23696</v>
      </c>
      <c r="E21" s="202">
        <f>24720-478-452+256-239</f>
        <v>23807</v>
      </c>
      <c r="F21" s="202">
        <v>2448</v>
      </c>
      <c r="G21" s="202"/>
      <c r="H21" s="202"/>
      <c r="I21" s="415">
        <f t="shared" si="2"/>
        <v>139900</v>
      </c>
      <c r="J21" s="209"/>
    </row>
    <row r="22" spans="1:10" ht="15" customHeight="1">
      <c r="A22" s="421" t="s">
        <v>50</v>
      </c>
      <c r="B22" s="201" t="s">
        <v>69</v>
      </c>
      <c r="C22" s="202">
        <f>46085+299+772</f>
        <v>47156</v>
      </c>
      <c r="D22" s="202">
        <f>11400+81+209</f>
        <v>11690</v>
      </c>
      <c r="E22" s="202">
        <f>9437-169-478+26</f>
        <v>8816</v>
      </c>
      <c r="F22" s="202"/>
      <c r="G22" s="202"/>
      <c r="H22" s="202"/>
      <c r="I22" s="415">
        <f t="shared" si="2"/>
        <v>67662</v>
      </c>
      <c r="J22" s="209"/>
    </row>
    <row r="23" spans="1:10" ht="15" customHeight="1">
      <c r="A23" s="421" t="s">
        <v>52</v>
      </c>
      <c r="B23" s="201" t="s">
        <v>386</v>
      </c>
      <c r="C23" s="202">
        <f>40164-973+396</f>
        <v>39587</v>
      </c>
      <c r="D23" s="202">
        <f>10526+107</f>
        <v>10633</v>
      </c>
      <c r="E23" s="202">
        <f>9175-156-95</f>
        <v>8924</v>
      </c>
      <c r="F23" s="202"/>
      <c r="G23" s="202"/>
      <c r="H23" s="202"/>
      <c r="I23" s="415">
        <f t="shared" si="2"/>
        <v>59144</v>
      </c>
      <c r="J23" s="209"/>
    </row>
    <row r="24" spans="1:10" ht="15" customHeight="1">
      <c r="A24" s="421" t="s">
        <v>54</v>
      </c>
      <c r="B24" s="201" t="s">
        <v>84</v>
      </c>
      <c r="C24" s="202">
        <f>27017+53+3234</f>
        <v>30304</v>
      </c>
      <c r="D24" s="202">
        <f>7495+14+495</f>
        <v>8004</v>
      </c>
      <c r="E24" s="202">
        <f>11075+16028+3578-1129</f>
        <v>29552</v>
      </c>
      <c r="F24" s="202"/>
      <c r="G24" s="202"/>
      <c r="H24" s="202"/>
      <c r="I24" s="415">
        <f t="shared" si="2"/>
        <v>67860</v>
      </c>
      <c r="J24" s="209"/>
    </row>
    <row r="25" spans="1:10" ht="15" customHeight="1">
      <c r="A25" s="421" t="s">
        <v>56</v>
      </c>
      <c r="B25" s="201" t="s">
        <v>78</v>
      </c>
      <c r="C25" s="202">
        <f>25854-1296+165</f>
        <v>24723</v>
      </c>
      <c r="D25" s="202">
        <f>7003+45</f>
        <v>7048</v>
      </c>
      <c r="E25" s="202">
        <f>19999-3305</f>
        <v>16694</v>
      </c>
      <c r="F25" s="202"/>
      <c r="G25" s="202"/>
      <c r="H25" s="202"/>
      <c r="I25" s="415">
        <f t="shared" si="2"/>
        <v>48465</v>
      </c>
      <c r="J25" s="209"/>
    </row>
    <row r="26" spans="1:10" ht="15" customHeight="1">
      <c r="A26" s="421" t="s">
        <v>57</v>
      </c>
      <c r="B26" s="203" t="s">
        <v>387</v>
      </c>
      <c r="C26" s="204">
        <f>133639-5544+515+3909</f>
        <v>132519</v>
      </c>
      <c r="D26" s="204">
        <f>33918+139+914</f>
        <v>34971</v>
      </c>
      <c r="E26" s="204">
        <f>54993-890-160+1297</f>
        <v>55240</v>
      </c>
      <c r="F26" s="204">
        <v>700</v>
      </c>
      <c r="G26" s="204"/>
      <c r="H26" s="204">
        <v>1000</v>
      </c>
      <c r="I26" s="415">
        <f t="shared" si="2"/>
        <v>224430</v>
      </c>
      <c r="J26" s="209"/>
    </row>
    <row r="27" spans="1:10" ht="15" customHeight="1" thickBot="1">
      <c r="A27" s="421" t="s">
        <v>62</v>
      </c>
      <c r="B27" s="203" t="s">
        <v>388</v>
      </c>
      <c r="C27" s="204">
        <f>96265+702</f>
        <v>96967</v>
      </c>
      <c r="D27" s="204">
        <f>26966+189</f>
        <v>27155</v>
      </c>
      <c r="E27" s="204">
        <f>166335-1400+27950</f>
        <v>192885</v>
      </c>
      <c r="F27" s="204">
        <v>300</v>
      </c>
      <c r="G27" s="204"/>
      <c r="H27" s="204">
        <f>8750+1400</f>
        <v>10150</v>
      </c>
      <c r="I27" s="416">
        <f t="shared" si="2"/>
        <v>327457</v>
      </c>
      <c r="J27" s="210"/>
    </row>
    <row r="28" spans="1:9" ht="15.75" customHeight="1" thickBot="1">
      <c r="A28" s="422" t="s">
        <v>64</v>
      </c>
      <c r="B28" s="418" t="s">
        <v>58</v>
      </c>
      <c r="C28" s="407">
        <f aca="true" t="shared" si="3" ref="C28:I28">SUM(C20:C27)</f>
        <v>629935</v>
      </c>
      <c r="D28" s="407">
        <f t="shared" si="3"/>
        <v>168612</v>
      </c>
      <c r="E28" s="407">
        <f t="shared" si="3"/>
        <v>370192</v>
      </c>
      <c r="F28" s="407">
        <f t="shared" si="3"/>
        <v>3448</v>
      </c>
      <c r="G28" s="407">
        <f t="shared" si="3"/>
        <v>0</v>
      </c>
      <c r="H28" s="407">
        <f t="shared" si="3"/>
        <v>11150</v>
      </c>
      <c r="I28" s="408">
        <f t="shared" si="3"/>
        <v>1183337</v>
      </c>
    </row>
    <row r="30" ht="12.75">
      <c r="J30" s="209"/>
    </row>
    <row r="787" ht="12.75">
      <c r="G787" s="205"/>
    </row>
    <row r="788" ht="12.75">
      <c r="G788" s="205" t="s">
        <v>395</v>
      </c>
    </row>
  </sheetData>
  <printOptions horizontalCentered="1"/>
  <pageMargins left="0.39375" right="0.19652777777777777" top="0.7875" bottom="0.5902777777777778" header="0.5118055555555555" footer="0.5118055555555555"/>
  <pageSetup horizontalDpi="300" verticalDpi="300" orientation="landscape" paperSize="9" r:id="rId1"/>
  <headerFooter alignWithMargins="0">
    <oddHeader>&amp;L&amp;8 5. melléklet a .../.....(......)önkormányzati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pane xSplit="3" ySplit="3" topLeftCell="D13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C33" sqref="C33"/>
    </sheetView>
  </sheetViews>
  <sheetFormatPr defaultColWidth="9.00390625" defaultRowHeight="12.75"/>
  <cols>
    <col min="1" max="1" width="3.00390625" style="211" customWidth="1"/>
    <col min="2" max="2" width="37.25390625" style="211" customWidth="1"/>
    <col min="3" max="3" width="12.625" style="211" customWidth="1"/>
    <col min="4" max="4" width="10.25390625" style="211" customWidth="1"/>
    <col min="5" max="6" width="9.375" style="211" customWidth="1"/>
    <col min="7" max="8" width="11.75390625" style="211" customWidth="1"/>
    <col min="9" max="9" width="11.375" style="211" customWidth="1"/>
    <col min="10" max="10" width="7.125" style="211" customWidth="1"/>
    <col min="11" max="11" width="8.375" style="211" customWidth="1"/>
    <col min="12" max="12" width="11.25390625" style="211" customWidth="1"/>
    <col min="13" max="16384" width="9.125" style="211" customWidth="1"/>
  </cols>
  <sheetData>
    <row r="1" spans="10:12" ht="13.5" thickBot="1">
      <c r="J1" s="506" t="s">
        <v>87</v>
      </c>
      <c r="K1" s="506"/>
      <c r="L1" s="506"/>
    </row>
    <row r="2" spans="1:12" ht="13.5" thickBot="1">
      <c r="A2" s="427"/>
      <c r="B2" s="431" t="s">
        <v>2</v>
      </c>
      <c r="C2" s="442" t="s">
        <v>88</v>
      </c>
      <c r="D2" s="442" t="s">
        <v>4</v>
      </c>
      <c r="E2" s="442" t="s">
        <v>5</v>
      </c>
      <c r="F2" s="442" t="s">
        <v>6</v>
      </c>
      <c r="G2" s="442" t="s">
        <v>7</v>
      </c>
      <c r="H2" s="442"/>
      <c r="I2" s="442" t="s">
        <v>8</v>
      </c>
      <c r="J2" s="442" t="s">
        <v>9</v>
      </c>
      <c r="K2" s="442" t="s">
        <v>10</v>
      </c>
      <c r="L2" s="432" t="s">
        <v>11</v>
      </c>
    </row>
    <row r="3" spans="1:12" s="212" customFormat="1" ht="34.5" customHeight="1" thickBot="1">
      <c r="A3" s="450"/>
      <c r="B3" s="449" t="s">
        <v>396</v>
      </c>
      <c r="C3" s="440" t="s">
        <v>397</v>
      </c>
      <c r="D3" s="440" t="s">
        <v>398</v>
      </c>
      <c r="E3" s="440" t="s">
        <v>399</v>
      </c>
      <c r="F3" s="440" t="s">
        <v>400</v>
      </c>
      <c r="G3" s="440" t="s">
        <v>401</v>
      </c>
      <c r="H3" s="440" t="s">
        <v>402</v>
      </c>
      <c r="I3" s="440" t="s">
        <v>58</v>
      </c>
      <c r="J3" s="440" t="s">
        <v>403</v>
      </c>
      <c r="K3" s="440" t="s">
        <v>404</v>
      </c>
      <c r="L3" s="441" t="s">
        <v>405</v>
      </c>
    </row>
    <row r="4" spans="1:12" s="219" customFormat="1" ht="15" customHeight="1">
      <c r="A4" s="429" t="s">
        <v>28</v>
      </c>
      <c r="B4" s="213" t="s">
        <v>406</v>
      </c>
      <c r="C4" s="214" t="s">
        <v>407</v>
      </c>
      <c r="D4" s="215">
        <f>286803+1747</f>
        <v>288550</v>
      </c>
      <c r="E4" s="216">
        <f>73050+471</f>
        <v>73521</v>
      </c>
      <c r="F4" s="215">
        <f>3000+160+2000+21492+40746+7000</f>
        <v>74398</v>
      </c>
      <c r="G4" s="217">
        <f>210460-3000+180000+137332+10800-137332</f>
        <v>398260</v>
      </c>
      <c r="H4" s="215">
        <f>20000-20000</f>
        <v>0</v>
      </c>
      <c r="I4" s="215">
        <f aca="true" t="shared" si="0" ref="I4:I19">SUM(D4:H4)</f>
        <v>834729</v>
      </c>
      <c r="J4" s="215">
        <v>92</v>
      </c>
      <c r="K4" s="218"/>
      <c r="L4" s="443">
        <v>37600</v>
      </c>
    </row>
    <row r="5" spans="1:12" s="219" customFormat="1" ht="15" customHeight="1">
      <c r="A5" s="429" t="s">
        <v>30</v>
      </c>
      <c r="B5" s="213" t="s">
        <v>408</v>
      </c>
      <c r="C5" s="214" t="s">
        <v>409</v>
      </c>
      <c r="D5" s="215">
        <v>22740</v>
      </c>
      <c r="E5" s="215">
        <v>6750</v>
      </c>
      <c r="F5" s="215"/>
      <c r="G5" s="215">
        <v>17250</v>
      </c>
      <c r="H5" s="215"/>
      <c r="I5" s="215">
        <f t="shared" si="0"/>
        <v>46740</v>
      </c>
      <c r="J5" s="215"/>
      <c r="K5" s="218"/>
      <c r="L5" s="443"/>
    </row>
    <row r="6" spans="1:12" s="219" customFormat="1" ht="15" customHeight="1">
      <c r="A6" s="429" t="s">
        <v>32</v>
      </c>
      <c r="B6" s="220" t="s">
        <v>410</v>
      </c>
      <c r="C6" s="221">
        <v>841403</v>
      </c>
      <c r="D6" s="222">
        <f>5200-400</f>
        <v>4800</v>
      </c>
      <c r="E6" s="222">
        <v>1450</v>
      </c>
      <c r="F6" s="222">
        <v>3600</v>
      </c>
      <c r="G6" s="222">
        <f>4750+4487+39+5933+610</f>
        <v>15819</v>
      </c>
      <c r="H6" s="215"/>
      <c r="I6" s="215">
        <f t="shared" si="0"/>
        <v>25669</v>
      </c>
      <c r="J6" s="222">
        <v>4</v>
      </c>
      <c r="K6" s="223"/>
      <c r="L6" s="444">
        <f>8700+5933</f>
        <v>14633</v>
      </c>
    </row>
    <row r="7" spans="1:12" s="219" customFormat="1" ht="24" customHeight="1">
      <c r="A7" s="429" t="s">
        <v>34</v>
      </c>
      <c r="B7" s="220" t="s">
        <v>411</v>
      </c>
      <c r="C7" s="224" t="s">
        <v>412</v>
      </c>
      <c r="D7" s="222"/>
      <c r="E7" s="222"/>
      <c r="F7" s="222"/>
      <c r="G7" s="222">
        <f>13640-4000</f>
        <v>9640</v>
      </c>
      <c r="H7" s="215"/>
      <c r="I7" s="215">
        <f t="shared" si="0"/>
        <v>9640</v>
      </c>
      <c r="J7" s="222"/>
      <c r="K7" s="223"/>
      <c r="L7" s="444">
        <v>15300</v>
      </c>
    </row>
    <row r="8" spans="1:12" s="219" customFormat="1" ht="15" customHeight="1">
      <c r="A8" s="429" t="s">
        <v>36</v>
      </c>
      <c r="B8" s="220" t="s">
        <v>413</v>
      </c>
      <c r="C8" s="224" t="s">
        <v>414</v>
      </c>
      <c r="D8" s="222">
        <f>53800-3000-22500+29667</f>
        <v>57967</v>
      </c>
      <c r="E8" s="222">
        <f>3000+5000</f>
        <v>8000</v>
      </c>
      <c r="F8" s="222"/>
      <c r="G8" s="222">
        <f>14072-13732</f>
        <v>340</v>
      </c>
      <c r="H8" s="215"/>
      <c r="I8" s="215">
        <f t="shared" si="0"/>
        <v>66307</v>
      </c>
      <c r="J8" s="222"/>
      <c r="K8" s="223">
        <v>200</v>
      </c>
      <c r="L8" s="444">
        <f>50000+34667</f>
        <v>84667</v>
      </c>
    </row>
    <row r="9" spans="1:12" s="219" customFormat="1" ht="15" customHeight="1">
      <c r="A9" s="429" t="s">
        <v>38</v>
      </c>
      <c r="B9" s="220" t="s">
        <v>415</v>
      </c>
      <c r="C9" s="224" t="s">
        <v>416</v>
      </c>
      <c r="D9" s="222">
        <f>4400-400+46648+22500</f>
        <v>73148</v>
      </c>
      <c r="E9" s="222">
        <f>1602+9398</f>
        <v>11000</v>
      </c>
      <c r="F9" s="222"/>
      <c r="G9" s="222">
        <f>340+13732</f>
        <v>14072</v>
      </c>
      <c r="H9" s="215"/>
      <c r="I9" s="215">
        <f t="shared" si="0"/>
        <v>98220</v>
      </c>
      <c r="J9" s="222"/>
      <c r="K9" s="223">
        <v>20</v>
      </c>
      <c r="L9" s="444">
        <f>4000+24939</f>
        <v>28939</v>
      </c>
    </row>
    <row r="10" spans="1:12" s="219" customFormat="1" ht="15" customHeight="1">
      <c r="A10" s="429" t="s">
        <v>40</v>
      </c>
      <c r="B10" s="220" t="s">
        <v>417</v>
      </c>
      <c r="C10" s="224" t="s">
        <v>418</v>
      </c>
      <c r="D10" s="222">
        <v>508</v>
      </c>
      <c r="E10" s="222">
        <v>137</v>
      </c>
      <c r="F10" s="222"/>
      <c r="G10" s="222"/>
      <c r="H10" s="215"/>
      <c r="I10" s="215">
        <f t="shared" si="0"/>
        <v>645</v>
      </c>
      <c r="J10" s="222"/>
      <c r="K10" s="223"/>
      <c r="L10" s="444">
        <v>645</v>
      </c>
    </row>
    <row r="11" spans="1:12" s="219" customFormat="1" ht="15" customHeight="1">
      <c r="A11" s="429" t="s">
        <v>42</v>
      </c>
      <c r="B11" s="220" t="s">
        <v>419</v>
      </c>
      <c r="C11" s="224" t="s">
        <v>420</v>
      </c>
      <c r="D11" s="222"/>
      <c r="E11" s="222"/>
      <c r="F11" s="222">
        <f>10000-1000</f>
        <v>9000</v>
      </c>
      <c r="G11" s="222"/>
      <c r="H11" s="215"/>
      <c r="I11" s="215">
        <f t="shared" si="0"/>
        <v>9000</v>
      </c>
      <c r="J11" s="222"/>
      <c r="K11" s="223"/>
      <c r="L11" s="444"/>
    </row>
    <row r="12" spans="1:12" s="219" customFormat="1" ht="15" customHeight="1">
      <c r="A12" s="429" t="s">
        <v>44</v>
      </c>
      <c r="B12" s="220" t="s">
        <v>421</v>
      </c>
      <c r="C12" s="224" t="s">
        <v>422</v>
      </c>
      <c r="D12" s="222"/>
      <c r="E12" s="222"/>
      <c r="F12" s="222"/>
      <c r="G12" s="222">
        <v>1000</v>
      </c>
      <c r="H12" s="215"/>
      <c r="I12" s="215">
        <f t="shared" si="0"/>
        <v>1000</v>
      </c>
      <c r="J12" s="222"/>
      <c r="K12" s="223"/>
      <c r="L12" s="444"/>
    </row>
    <row r="13" spans="1:12" s="219" customFormat="1" ht="15" customHeight="1">
      <c r="A13" s="429" t="s">
        <v>46</v>
      </c>
      <c r="B13" s="220" t="s">
        <v>423</v>
      </c>
      <c r="C13" s="224" t="s">
        <v>424</v>
      </c>
      <c r="D13" s="222"/>
      <c r="E13" s="222"/>
      <c r="F13" s="222"/>
      <c r="G13" s="222">
        <f>2400-100-600</f>
        <v>1700</v>
      </c>
      <c r="H13" s="215"/>
      <c r="I13" s="215">
        <f t="shared" si="0"/>
        <v>1700</v>
      </c>
      <c r="J13" s="222"/>
      <c r="K13" s="223"/>
      <c r="L13" s="444"/>
    </row>
    <row r="14" spans="1:12" s="219" customFormat="1" ht="15" customHeight="1">
      <c r="A14" s="429" t="s">
        <v>48</v>
      </c>
      <c r="B14" s="220" t="s">
        <v>425</v>
      </c>
      <c r="C14" s="224" t="s">
        <v>426</v>
      </c>
      <c r="D14" s="222"/>
      <c r="E14" s="222"/>
      <c r="F14" s="222"/>
      <c r="G14" s="222">
        <f>1400-100</f>
        <v>1300</v>
      </c>
      <c r="H14" s="215"/>
      <c r="I14" s="215">
        <f t="shared" si="0"/>
        <v>1300</v>
      </c>
      <c r="J14" s="222"/>
      <c r="K14" s="223"/>
      <c r="L14" s="444"/>
    </row>
    <row r="15" spans="1:12" s="219" customFormat="1" ht="15" customHeight="1">
      <c r="A15" s="429" t="s">
        <v>50</v>
      </c>
      <c r="B15" s="220" t="s">
        <v>427</v>
      </c>
      <c r="C15" s="224" t="s">
        <v>428</v>
      </c>
      <c r="D15" s="222"/>
      <c r="E15" s="222"/>
      <c r="F15" s="222">
        <v>1000</v>
      </c>
      <c r="G15" s="222"/>
      <c r="H15" s="215"/>
      <c r="I15" s="215">
        <f t="shared" si="0"/>
        <v>1000</v>
      </c>
      <c r="J15" s="222"/>
      <c r="K15" s="223"/>
      <c r="L15" s="444"/>
    </row>
    <row r="16" spans="1:12" s="219" customFormat="1" ht="15" customHeight="1">
      <c r="A16" s="429" t="s">
        <v>52</v>
      </c>
      <c r="B16" s="220" t="s">
        <v>429</v>
      </c>
      <c r="C16" s="224" t="s">
        <v>430</v>
      </c>
      <c r="D16" s="222"/>
      <c r="E16" s="222"/>
      <c r="F16" s="222">
        <v>1500</v>
      </c>
      <c r="G16" s="222"/>
      <c r="H16" s="215"/>
      <c r="I16" s="215">
        <f t="shared" si="0"/>
        <v>1500</v>
      </c>
      <c r="J16" s="222"/>
      <c r="K16" s="223"/>
      <c r="L16" s="444"/>
    </row>
    <row r="17" spans="1:12" s="219" customFormat="1" ht="15" customHeight="1">
      <c r="A17" s="429" t="s">
        <v>54</v>
      </c>
      <c r="B17" s="220" t="s">
        <v>431</v>
      </c>
      <c r="C17" s="224" t="s">
        <v>432</v>
      </c>
      <c r="D17" s="222"/>
      <c r="E17" s="222"/>
      <c r="F17" s="222">
        <f>1800</f>
        <v>1800</v>
      </c>
      <c r="G17" s="222"/>
      <c r="H17" s="215"/>
      <c r="I17" s="215">
        <f t="shared" si="0"/>
        <v>1800</v>
      </c>
      <c r="J17" s="222"/>
      <c r="K17" s="223"/>
      <c r="L17" s="444"/>
    </row>
    <row r="18" spans="1:12" s="219" customFormat="1" ht="15" customHeight="1">
      <c r="A18" s="429" t="s">
        <v>56</v>
      </c>
      <c r="B18" s="220" t="s">
        <v>433</v>
      </c>
      <c r="C18" s="225"/>
      <c r="D18" s="222"/>
      <c r="E18" s="222"/>
      <c r="F18" s="222"/>
      <c r="G18" s="222">
        <f>100900-15000</f>
        <v>85900</v>
      </c>
      <c r="H18" s="215"/>
      <c r="I18" s="215">
        <f t="shared" si="0"/>
        <v>85900</v>
      </c>
      <c r="J18" s="222"/>
      <c r="K18" s="223"/>
      <c r="L18" s="444"/>
    </row>
    <row r="19" spans="1:12" s="219" customFormat="1" ht="15" customHeight="1">
      <c r="A19" s="429" t="s">
        <v>57</v>
      </c>
      <c r="B19" s="226" t="s">
        <v>434</v>
      </c>
      <c r="C19" s="227"/>
      <c r="D19" s="228"/>
      <c r="E19" s="228"/>
      <c r="F19" s="228">
        <f>370910+6948+580</f>
        <v>378438</v>
      </c>
      <c r="G19" s="228"/>
      <c r="H19" s="229"/>
      <c r="I19" s="215">
        <f t="shared" si="0"/>
        <v>378438</v>
      </c>
      <c r="J19" s="228"/>
      <c r="K19" s="230"/>
      <c r="L19" s="445">
        <f>284745+6948+580</f>
        <v>292273</v>
      </c>
    </row>
    <row r="20" spans="1:12" s="219" customFormat="1" ht="15" customHeight="1">
      <c r="A20" s="429" t="s">
        <v>62</v>
      </c>
      <c r="B20" s="231" t="s">
        <v>58</v>
      </c>
      <c r="C20" s="232"/>
      <c r="D20" s="232">
        <f aca="true" t="shared" si="1" ref="D20:L20">SUM(D4:D19)</f>
        <v>447713</v>
      </c>
      <c r="E20" s="232">
        <f t="shared" si="1"/>
        <v>100858</v>
      </c>
      <c r="F20" s="232">
        <f t="shared" si="1"/>
        <v>469736</v>
      </c>
      <c r="G20" s="232">
        <f t="shared" si="1"/>
        <v>545281</v>
      </c>
      <c r="H20" s="232">
        <f t="shared" si="1"/>
        <v>0</v>
      </c>
      <c r="I20" s="232">
        <f t="shared" si="1"/>
        <v>1563588</v>
      </c>
      <c r="J20" s="232">
        <f t="shared" si="1"/>
        <v>96</v>
      </c>
      <c r="K20" s="232">
        <f t="shared" si="1"/>
        <v>220</v>
      </c>
      <c r="L20" s="446">
        <f t="shared" si="1"/>
        <v>474057</v>
      </c>
    </row>
    <row r="21" spans="1:12" s="219" customFormat="1" ht="15" customHeight="1">
      <c r="A21" s="429" t="s">
        <v>64</v>
      </c>
      <c r="B21" s="233" t="s">
        <v>435</v>
      </c>
      <c r="C21" s="234"/>
      <c r="D21" s="234"/>
      <c r="E21" s="234"/>
      <c r="F21" s="234"/>
      <c r="G21" s="234"/>
      <c r="H21" s="234"/>
      <c r="I21" s="234">
        <v>5000</v>
      </c>
      <c r="J21" s="234"/>
      <c r="K21" s="235"/>
      <c r="L21" s="447"/>
    </row>
    <row r="22" spans="1:12" s="219" customFormat="1" ht="15" customHeight="1" thickBot="1">
      <c r="A22" s="429" t="s">
        <v>67</v>
      </c>
      <c r="B22" s="226" t="s">
        <v>436</v>
      </c>
      <c r="C22" s="436" t="s">
        <v>437</v>
      </c>
      <c r="D22" s="228"/>
      <c r="E22" s="228"/>
      <c r="F22" s="228"/>
      <c r="G22" s="228">
        <f>2270+9+212+150+481+299</f>
        <v>3421</v>
      </c>
      <c r="H22" s="228"/>
      <c r="I22" s="437">
        <f>SUM(D22:G22)</f>
        <v>3421</v>
      </c>
      <c r="J22" s="228"/>
      <c r="K22" s="230"/>
      <c r="L22" s="448"/>
    </row>
    <row r="23" spans="1:12" ht="16.5" customHeight="1" thickBot="1">
      <c r="A23" s="430" t="s">
        <v>70</v>
      </c>
      <c r="B23" s="426" t="s">
        <v>438</v>
      </c>
      <c r="C23" s="438"/>
      <c r="D23" s="438">
        <f>D20+D22</f>
        <v>447713</v>
      </c>
      <c r="E23" s="438">
        <f>E20+E22</f>
        <v>100858</v>
      </c>
      <c r="F23" s="438">
        <f>F20+F22</f>
        <v>469736</v>
      </c>
      <c r="G23" s="438">
        <f>SUM(G20:G22)</f>
        <v>548702</v>
      </c>
      <c r="H23" s="438">
        <f>SUM(H20:H22)</f>
        <v>0</v>
      </c>
      <c r="I23" s="438">
        <f>SUM(I20:I22)</f>
        <v>1572009</v>
      </c>
      <c r="J23" s="438">
        <f>J20+J22</f>
        <v>96</v>
      </c>
      <c r="K23" s="438">
        <f>K20+K22</f>
        <v>220</v>
      </c>
      <c r="L23" s="423">
        <f>L20+L22</f>
        <v>474057</v>
      </c>
    </row>
    <row r="24" spans="7:9" ht="12.75">
      <c r="G24" s="219"/>
      <c r="H24" s="219"/>
      <c r="I24" s="236"/>
    </row>
    <row r="25" spans="2:12" ht="12.75">
      <c r="B25" s="507" t="s">
        <v>439</v>
      </c>
      <c r="C25" s="507"/>
      <c r="D25" s="507"/>
      <c r="E25" s="237"/>
      <c r="F25" s="237"/>
      <c r="G25" s="237"/>
      <c r="H25" s="237"/>
      <c r="I25" s="237"/>
      <c r="J25" s="237"/>
      <c r="K25" s="237"/>
      <c r="L25" s="237"/>
    </row>
    <row r="26" spans="2:12" ht="13.5" thickBot="1">
      <c r="B26" s="237"/>
      <c r="C26" s="237"/>
      <c r="D26" s="508" t="s">
        <v>87</v>
      </c>
      <c r="E26" s="508"/>
      <c r="F26" s="508"/>
      <c r="G26" s="237"/>
      <c r="H26" s="237"/>
      <c r="I26" s="237"/>
      <c r="J26" s="237"/>
      <c r="K26" s="237"/>
      <c r="L26" s="237"/>
    </row>
    <row r="27" spans="1:3" ht="13.5" thickBot="1">
      <c r="A27" s="427"/>
      <c r="B27" s="431" t="s">
        <v>2</v>
      </c>
      <c r="C27" s="432" t="s">
        <v>88</v>
      </c>
    </row>
    <row r="28" spans="1:3" ht="13.5" thickBot="1">
      <c r="A28" s="428"/>
      <c r="B28" s="425" t="s">
        <v>16</v>
      </c>
      <c r="C28" s="424" t="s">
        <v>440</v>
      </c>
    </row>
    <row r="29" spans="1:3" ht="12.75">
      <c r="A29" s="429" t="s">
        <v>73</v>
      </c>
      <c r="B29" s="238" t="s">
        <v>429</v>
      </c>
      <c r="C29" s="433">
        <v>1500</v>
      </c>
    </row>
    <row r="30" spans="1:3" ht="12.75">
      <c r="A30" s="429" t="s">
        <v>76</v>
      </c>
      <c r="B30" s="240" t="s">
        <v>441</v>
      </c>
      <c r="C30" s="434">
        <v>9000</v>
      </c>
    </row>
    <row r="31" spans="1:3" ht="12.75">
      <c r="A31" s="429" t="s">
        <v>79</v>
      </c>
      <c r="B31" s="240" t="s">
        <v>442</v>
      </c>
      <c r="C31" s="434">
        <v>100</v>
      </c>
    </row>
    <row r="32" spans="1:3" ht="12.75">
      <c r="A32" s="429" t="s">
        <v>82</v>
      </c>
      <c r="B32" s="240" t="s">
        <v>443</v>
      </c>
      <c r="C32" s="434">
        <f>5000+21492+40746+7000</f>
        <v>74238</v>
      </c>
    </row>
    <row r="33" spans="1:3" ht="13.5" thickBot="1">
      <c r="A33" s="429" t="s">
        <v>85</v>
      </c>
      <c r="B33" s="242" t="s">
        <v>444</v>
      </c>
      <c r="C33" s="435">
        <v>500</v>
      </c>
    </row>
    <row r="34" spans="1:3" ht="16.5" customHeight="1" thickBot="1">
      <c r="A34" s="430" t="s">
        <v>119</v>
      </c>
      <c r="B34" s="426" t="s">
        <v>58</v>
      </c>
      <c r="C34" s="423">
        <f>SUM(C29:C33)</f>
        <v>85338</v>
      </c>
    </row>
  </sheetData>
  <mergeCells count="3">
    <mergeCell ref="J1:L1"/>
    <mergeCell ref="B25:D25"/>
    <mergeCell ref="D26:F26"/>
  </mergeCells>
  <printOptions horizontalCentered="1"/>
  <pageMargins left="0.5902777777777778" right="0.19652777777777777" top="0.6694444444444445" bottom="0.5902777777777778" header="0.31527777777777777" footer="0.5118055555555555"/>
  <pageSetup horizontalDpi="300" verticalDpi="300" orientation="landscape" paperSize="9" scale="95" r:id="rId1"/>
  <headerFooter alignWithMargins="0">
    <oddHeader>&amp;L&amp;8 6. melléklet a .../......(......) önkormányzati  rendelethez&amp;C&amp;"Arial CE,Félkövér"&amp;11 1. A Polgármesteri Hivatal bevételei és kiadásai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2"/>
  <dimension ref="A1:N41"/>
  <sheetViews>
    <sheetView workbookViewId="0" topLeftCell="A10">
      <selection activeCell="M12" sqref="M12"/>
    </sheetView>
  </sheetViews>
  <sheetFormatPr defaultColWidth="9.00390625" defaultRowHeight="12.75"/>
  <cols>
    <col min="1" max="1" width="3.875" style="1" customWidth="1"/>
    <col min="2" max="2" width="4.375" style="1" customWidth="1"/>
    <col min="3" max="3" width="28.375" style="1" customWidth="1"/>
    <col min="4" max="4" width="8.25390625" style="1" customWidth="1"/>
    <col min="5" max="5" width="8.375" style="1" customWidth="1"/>
    <col min="6" max="6" width="7.625" style="1" customWidth="1"/>
    <col min="7" max="10" width="8.375" style="1" customWidth="1"/>
    <col min="11" max="11" width="8.25390625" style="1" customWidth="1"/>
    <col min="12" max="13" width="8.375" style="1" customWidth="1"/>
    <col min="14" max="16384" width="9.125" style="1" customWidth="1"/>
  </cols>
  <sheetData>
    <row r="1" spans="1:14" ht="23.25" customHeight="1">
      <c r="A1" s="509" t="s">
        <v>0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</row>
    <row r="2" ht="15.75">
      <c r="C2" s="2"/>
    </row>
    <row r="3" ht="12.75">
      <c r="B3" s="3" t="s">
        <v>1</v>
      </c>
    </row>
    <row r="4" ht="13.5" thickBot="1">
      <c r="B4" s="3"/>
    </row>
    <row r="5" spans="1:14" ht="13.5" thickBot="1">
      <c r="A5" s="4"/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7" t="s">
        <v>9</v>
      </c>
      <c r="J5" s="7" t="s">
        <v>10</v>
      </c>
      <c r="K5" s="6" t="s">
        <v>11</v>
      </c>
      <c r="L5" s="7" t="s">
        <v>12</v>
      </c>
      <c r="M5" s="8" t="s">
        <v>13</v>
      </c>
      <c r="N5" s="9" t="s">
        <v>14</v>
      </c>
    </row>
    <row r="6" spans="1:14" ht="24.75" customHeight="1" thickBot="1">
      <c r="A6" s="10"/>
      <c r="B6" s="11" t="s">
        <v>15</v>
      </c>
      <c r="C6" s="12" t="s">
        <v>16</v>
      </c>
      <c r="D6" s="13" t="s">
        <v>17</v>
      </c>
      <c r="E6" s="13" t="s">
        <v>18</v>
      </c>
      <c r="F6" s="13" t="s">
        <v>19</v>
      </c>
      <c r="G6" s="13" t="s">
        <v>20</v>
      </c>
      <c r="H6" s="13" t="s">
        <v>21</v>
      </c>
      <c r="I6" s="13" t="s">
        <v>22</v>
      </c>
      <c r="J6" s="13" t="s">
        <v>23</v>
      </c>
      <c r="K6" s="14" t="s">
        <v>24</v>
      </c>
      <c r="L6" s="14" t="s">
        <v>25</v>
      </c>
      <c r="M6" s="15" t="s">
        <v>26</v>
      </c>
      <c r="N6" s="16" t="s">
        <v>27</v>
      </c>
    </row>
    <row r="7" spans="1:14" ht="12.75">
      <c r="A7" s="17" t="s">
        <v>28</v>
      </c>
      <c r="B7" s="18" t="s">
        <v>28</v>
      </c>
      <c r="C7" s="19" t="s">
        <v>29</v>
      </c>
      <c r="D7" s="20">
        <v>121</v>
      </c>
      <c r="E7" s="21">
        <v>120</v>
      </c>
      <c r="F7" s="20">
        <v>120</v>
      </c>
      <c r="G7" s="21">
        <v>120</v>
      </c>
      <c r="H7" s="21">
        <v>120</v>
      </c>
      <c r="I7" s="21">
        <v>120</v>
      </c>
      <c r="J7" s="21">
        <v>120</v>
      </c>
      <c r="K7" s="22">
        <v>120</v>
      </c>
      <c r="L7" s="23">
        <f>120-30</f>
        <v>90</v>
      </c>
      <c r="M7" s="24">
        <f>120-30</f>
        <v>90</v>
      </c>
      <c r="N7" s="25">
        <f>120-30</f>
        <v>90</v>
      </c>
    </row>
    <row r="8" spans="1:14" ht="12.75">
      <c r="A8" s="17" t="s">
        <v>30</v>
      </c>
      <c r="B8" s="26" t="s">
        <v>30</v>
      </c>
      <c r="C8" s="27" t="s">
        <v>31</v>
      </c>
      <c r="D8" s="28">
        <v>118</v>
      </c>
      <c r="E8" s="29">
        <v>118</v>
      </c>
      <c r="F8" s="28">
        <v>110</v>
      </c>
      <c r="G8" s="29">
        <v>118</v>
      </c>
      <c r="H8" s="29">
        <v>118</v>
      </c>
      <c r="I8" s="29">
        <v>118</v>
      </c>
      <c r="J8" s="29">
        <v>118</v>
      </c>
      <c r="K8" s="30">
        <v>118</v>
      </c>
      <c r="L8" s="31">
        <v>118</v>
      </c>
      <c r="M8" s="32">
        <v>118</v>
      </c>
      <c r="N8" s="33">
        <v>118</v>
      </c>
    </row>
    <row r="9" spans="1:14" ht="12.75">
      <c r="A9" s="17" t="s">
        <v>32</v>
      </c>
      <c r="B9" s="26" t="s">
        <v>32</v>
      </c>
      <c r="C9" s="27" t="s">
        <v>33</v>
      </c>
      <c r="D9" s="28">
        <v>105</v>
      </c>
      <c r="E9" s="29">
        <v>105</v>
      </c>
      <c r="F9" s="28">
        <v>95</v>
      </c>
      <c r="G9" s="29">
        <v>105</v>
      </c>
      <c r="H9" s="29">
        <v>105</v>
      </c>
      <c r="I9" s="29">
        <v>105</v>
      </c>
      <c r="J9" s="29">
        <v>105</v>
      </c>
      <c r="K9" s="30">
        <v>105</v>
      </c>
      <c r="L9" s="31">
        <v>105</v>
      </c>
      <c r="M9" s="32">
        <v>105</v>
      </c>
      <c r="N9" s="33">
        <v>105</v>
      </c>
    </row>
    <row r="10" spans="1:14" ht="24" customHeight="1">
      <c r="A10" s="17" t="s">
        <v>34</v>
      </c>
      <c r="B10" s="26" t="s">
        <v>34</v>
      </c>
      <c r="C10" s="34" t="s">
        <v>35</v>
      </c>
      <c r="D10" s="28">
        <v>332</v>
      </c>
      <c r="E10" s="29">
        <v>341</v>
      </c>
      <c r="F10" s="28">
        <f aca="true" t="shared" si="0" ref="F10:N10">F37</f>
        <v>341</v>
      </c>
      <c r="G10" s="29">
        <f t="shared" si="0"/>
        <v>340</v>
      </c>
      <c r="H10" s="29">
        <f t="shared" si="0"/>
        <v>339</v>
      </c>
      <c r="I10" s="29">
        <f t="shared" si="0"/>
        <v>340</v>
      </c>
      <c r="J10" s="29">
        <f t="shared" si="0"/>
        <v>346</v>
      </c>
      <c r="K10" s="30">
        <f t="shared" si="0"/>
        <v>354</v>
      </c>
      <c r="L10" s="31">
        <f t="shared" si="0"/>
        <v>353</v>
      </c>
      <c r="M10" s="32">
        <f t="shared" si="0"/>
        <v>366</v>
      </c>
      <c r="N10" s="33">
        <f t="shared" si="0"/>
        <v>375</v>
      </c>
    </row>
    <row r="11" spans="1:14" ht="14.25" customHeight="1">
      <c r="A11" s="17" t="s">
        <v>36</v>
      </c>
      <c r="B11" s="26" t="s">
        <v>36</v>
      </c>
      <c r="C11" s="27" t="s">
        <v>37</v>
      </c>
      <c r="D11" s="28">
        <v>13</v>
      </c>
      <c r="E11" s="29">
        <v>13</v>
      </c>
      <c r="F11" s="28">
        <v>13</v>
      </c>
      <c r="G11" s="29">
        <v>13</v>
      </c>
      <c r="H11" s="29">
        <v>13</v>
      </c>
      <c r="I11" s="29">
        <v>13</v>
      </c>
      <c r="J11" s="29">
        <v>13</v>
      </c>
      <c r="K11" s="30">
        <v>13</v>
      </c>
      <c r="L11" s="31">
        <v>13</v>
      </c>
      <c r="M11" s="32">
        <v>13</v>
      </c>
      <c r="N11" s="33">
        <v>13</v>
      </c>
    </row>
    <row r="12" spans="1:14" ht="12.75">
      <c r="A12" s="17" t="s">
        <v>38</v>
      </c>
      <c r="B12" s="26" t="s">
        <v>38</v>
      </c>
      <c r="C12" s="27" t="s">
        <v>39</v>
      </c>
      <c r="D12" s="28">
        <v>16</v>
      </c>
      <c r="E12" s="29">
        <v>16</v>
      </c>
      <c r="F12" s="28">
        <v>16</v>
      </c>
      <c r="G12" s="29">
        <v>16</v>
      </c>
      <c r="H12" s="29">
        <v>16</v>
      </c>
      <c r="I12" s="29">
        <v>16</v>
      </c>
      <c r="J12" s="29">
        <v>16</v>
      </c>
      <c r="K12" s="30">
        <v>16</v>
      </c>
      <c r="L12" s="31">
        <v>16</v>
      </c>
      <c r="M12" s="32">
        <v>16</v>
      </c>
      <c r="N12" s="33">
        <v>16</v>
      </c>
    </row>
    <row r="13" spans="1:14" ht="12.75">
      <c r="A13" s="17" t="s">
        <v>40</v>
      </c>
      <c r="B13" s="26" t="s">
        <v>40</v>
      </c>
      <c r="C13" s="27" t="s">
        <v>41</v>
      </c>
      <c r="D13" s="28">
        <v>65</v>
      </c>
      <c r="E13" s="29">
        <v>65</v>
      </c>
      <c r="F13" s="28">
        <v>65</v>
      </c>
      <c r="G13" s="29">
        <v>65</v>
      </c>
      <c r="H13" s="29">
        <v>65</v>
      </c>
      <c r="I13" s="29">
        <v>65</v>
      </c>
      <c r="J13" s="29">
        <v>65</v>
      </c>
      <c r="K13" s="30">
        <v>65</v>
      </c>
      <c r="L13" s="31">
        <v>65</v>
      </c>
      <c r="M13" s="32">
        <v>65</v>
      </c>
      <c r="N13" s="33">
        <v>65</v>
      </c>
    </row>
    <row r="14" spans="1:14" ht="12.75">
      <c r="A14" s="17" t="s">
        <v>42</v>
      </c>
      <c r="B14" s="26" t="s">
        <v>42</v>
      </c>
      <c r="C14" s="27" t="s">
        <v>43</v>
      </c>
      <c r="D14" s="28"/>
      <c r="E14" s="29"/>
      <c r="F14" s="28"/>
      <c r="G14" s="29"/>
      <c r="H14" s="29"/>
      <c r="I14" s="29"/>
      <c r="J14" s="29"/>
      <c r="K14" s="30"/>
      <c r="L14" s="31"/>
      <c r="M14" s="32"/>
      <c r="N14" s="33"/>
    </row>
    <row r="15" spans="1:14" ht="12.75">
      <c r="A15" s="17" t="s">
        <v>44</v>
      </c>
      <c r="B15" s="26" t="s">
        <v>44</v>
      </c>
      <c r="C15" s="27" t="s">
        <v>45</v>
      </c>
      <c r="D15" s="28">
        <v>882</v>
      </c>
      <c r="E15" s="29">
        <v>882</v>
      </c>
      <c r="F15" s="28">
        <v>762</v>
      </c>
      <c r="G15" s="29">
        <v>882</v>
      </c>
      <c r="H15" s="29">
        <v>882</v>
      </c>
      <c r="I15" s="29">
        <v>882</v>
      </c>
      <c r="J15" s="29">
        <v>882</v>
      </c>
      <c r="K15" s="30">
        <v>882</v>
      </c>
      <c r="L15" s="31">
        <v>882</v>
      </c>
      <c r="M15" s="32">
        <v>882</v>
      </c>
      <c r="N15" s="33">
        <v>882</v>
      </c>
    </row>
    <row r="16" spans="1:14" ht="12.75">
      <c r="A16" s="17" t="s">
        <v>46</v>
      </c>
      <c r="B16" s="26" t="s">
        <v>46</v>
      </c>
      <c r="C16" s="27" t="s">
        <v>47</v>
      </c>
      <c r="D16" s="28">
        <v>28</v>
      </c>
      <c r="E16" s="29">
        <v>28</v>
      </c>
      <c r="F16" s="28">
        <v>28</v>
      </c>
      <c r="G16" s="29">
        <v>28</v>
      </c>
      <c r="H16" s="29">
        <v>28</v>
      </c>
      <c r="I16" s="29">
        <v>28</v>
      </c>
      <c r="J16" s="29">
        <v>28</v>
      </c>
      <c r="K16" s="30">
        <v>28</v>
      </c>
      <c r="L16" s="31">
        <v>28</v>
      </c>
      <c r="M16" s="32">
        <v>28</v>
      </c>
      <c r="N16" s="33">
        <v>28</v>
      </c>
    </row>
    <row r="17" spans="1:14" ht="12.75">
      <c r="A17" s="17" t="s">
        <v>48</v>
      </c>
      <c r="B17" s="26" t="s">
        <v>48</v>
      </c>
      <c r="C17" s="27" t="s">
        <v>49</v>
      </c>
      <c r="D17" s="28">
        <v>96</v>
      </c>
      <c r="E17" s="29">
        <v>96</v>
      </c>
      <c r="F17" s="28">
        <v>96</v>
      </c>
      <c r="G17" s="29">
        <v>96</v>
      </c>
      <c r="H17" s="29">
        <v>96</v>
      </c>
      <c r="I17" s="29">
        <v>96</v>
      </c>
      <c r="J17" s="29">
        <v>96</v>
      </c>
      <c r="K17" s="30">
        <v>96</v>
      </c>
      <c r="L17" s="31">
        <v>96</v>
      </c>
      <c r="M17" s="32">
        <v>96</v>
      </c>
      <c r="N17" s="33">
        <v>96</v>
      </c>
    </row>
    <row r="18" spans="1:14" ht="12.75">
      <c r="A18" s="17" t="s">
        <v>50</v>
      </c>
      <c r="B18" s="26"/>
      <c r="C18" s="27" t="s">
        <v>51</v>
      </c>
      <c r="D18" s="28"/>
      <c r="E18" s="29"/>
      <c r="F18" s="28">
        <v>385</v>
      </c>
      <c r="G18" s="29">
        <v>220</v>
      </c>
      <c r="H18" s="29">
        <v>220</v>
      </c>
      <c r="I18" s="29">
        <v>220</v>
      </c>
      <c r="J18" s="29">
        <v>220</v>
      </c>
      <c r="K18" s="30">
        <v>220</v>
      </c>
      <c r="L18" s="31">
        <v>220</v>
      </c>
      <c r="M18" s="32">
        <v>220</v>
      </c>
      <c r="N18" s="33">
        <v>220</v>
      </c>
    </row>
    <row r="19" spans="1:14" ht="12.75">
      <c r="A19" s="17" t="s">
        <v>52</v>
      </c>
      <c r="B19" s="26"/>
      <c r="C19" s="27" t="s">
        <v>53</v>
      </c>
      <c r="D19" s="28"/>
      <c r="E19" s="29"/>
      <c r="F19" s="28"/>
      <c r="G19" s="29"/>
      <c r="H19" s="29"/>
      <c r="I19" s="30"/>
      <c r="J19" s="30"/>
      <c r="K19" s="35"/>
      <c r="L19" s="36"/>
      <c r="M19" s="37"/>
      <c r="N19" s="38"/>
    </row>
    <row r="20" spans="1:14" ht="12.75">
      <c r="A20" s="17" t="s">
        <v>54</v>
      </c>
      <c r="B20" s="26"/>
      <c r="C20" s="39" t="s">
        <v>55</v>
      </c>
      <c r="D20" s="28"/>
      <c r="E20" s="29"/>
      <c r="F20" s="28"/>
      <c r="G20" s="29"/>
      <c r="H20" s="29"/>
      <c r="I20" s="30"/>
      <c r="J20" s="30"/>
      <c r="K20" s="35"/>
      <c r="L20" s="36"/>
      <c r="M20" s="37"/>
      <c r="N20" s="38"/>
    </row>
    <row r="21" spans="1:14" ht="13.5" thickBot="1">
      <c r="A21" s="17" t="s">
        <v>56</v>
      </c>
      <c r="B21" s="40"/>
      <c r="C21" s="41"/>
      <c r="D21" s="42"/>
      <c r="E21" s="43"/>
      <c r="F21" s="44"/>
      <c r="G21" s="43"/>
      <c r="H21" s="43"/>
      <c r="I21" s="45"/>
      <c r="J21" s="45"/>
      <c r="K21" s="46"/>
      <c r="L21" s="47"/>
      <c r="M21" s="48"/>
      <c r="N21" s="49"/>
    </row>
    <row r="22" spans="1:14" ht="15.75" thickBot="1">
      <c r="A22" s="50" t="s">
        <v>57</v>
      </c>
      <c r="B22" s="51"/>
      <c r="C22" s="52" t="s">
        <v>58</v>
      </c>
      <c r="D22" s="53">
        <f>SUM(D7:D17)</f>
        <v>1776</v>
      </c>
      <c r="E22" s="53">
        <f>SUM(E7:E17)</f>
        <v>1784</v>
      </c>
      <c r="F22" s="53">
        <f>SUM(F7:F21)</f>
        <v>2031</v>
      </c>
      <c r="G22" s="53">
        <f aca="true" t="shared" si="1" ref="G22:N22">SUM(G7:G18)</f>
        <v>2003</v>
      </c>
      <c r="H22" s="53">
        <f t="shared" si="1"/>
        <v>2002</v>
      </c>
      <c r="I22" s="53">
        <f t="shared" si="1"/>
        <v>2003</v>
      </c>
      <c r="J22" s="53">
        <f t="shared" si="1"/>
        <v>2009</v>
      </c>
      <c r="K22" s="54">
        <f t="shared" si="1"/>
        <v>2017</v>
      </c>
      <c r="L22" s="55">
        <f t="shared" si="1"/>
        <v>1986</v>
      </c>
      <c r="M22" s="56">
        <f t="shared" si="1"/>
        <v>1999</v>
      </c>
      <c r="N22" s="57">
        <f t="shared" si="1"/>
        <v>2008</v>
      </c>
    </row>
    <row r="23" spans="2:12" ht="12.75">
      <c r="B23" s="58"/>
      <c r="L23" s="59"/>
    </row>
    <row r="24" spans="2:12" ht="12.75">
      <c r="B24" s="58"/>
      <c r="L24" s="59"/>
    </row>
    <row r="25" spans="2:12" ht="12.75">
      <c r="B25" s="3" t="s">
        <v>59</v>
      </c>
      <c r="L25" s="59"/>
    </row>
    <row r="26" spans="2:12" ht="13.5" thickBot="1">
      <c r="B26" s="3"/>
      <c r="L26" s="59"/>
    </row>
    <row r="27" spans="1:14" ht="13.5" thickBot="1">
      <c r="A27" s="4"/>
      <c r="B27" s="5" t="s">
        <v>2</v>
      </c>
      <c r="C27" s="6" t="s">
        <v>3</v>
      </c>
      <c r="D27" s="6" t="s">
        <v>4</v>
      </c>
      <c r="E27" s="6" t="s">
        <v>5</v>
      </c>
      <c r="F27" s="6" t="s">
        <v>6</v>
      </c>
      <c r="G27" s="6" t="s">
        <v>7</v>
      </c>
      <c r="H27" s="6" t="s">
        <v>8</v>
      </c>
      <c r="I27" s="7" t="s">
        <v>9</v>
      </c>
      <c r="J27" s="7" t="s">
        <v>10</v>
      </c>
      <c r="K27" s="7" t="s">
        <v>11</v>
      </c>
      <c r="L27" s="60" t="s">
        <v>12</v>
      </c>
      <c r="M27" s="8" t="s">
        <v>13</v>
      </c>
      <c r="N27" s="9" t="s">
        <v>14</v>
      </c>
    </row>
    <row r="28" spans="1:14" ht="24.75" customHeight="1" thickBot="1">
      <c r="A28" s="10"/>
      <c r="B28" s="11" t="s">
        <v>60</v>
      </c>
      <c r="C28" s="61" t="s">
        <v>16</v>
      </c>
      <c r="D28" s="13" t="s">
        <v>61</v>
      </c>
      <c r="E28" s="13" t="s">
        <v>18</v>
      </c>
      <c r="F28" s="13" t="s">
        <v>19</v>
      </c>
      <c r="G28" s="13" t="s">
        <v>20</v>
      </c>
      <c r="H28" s="13" t="s">
        <v>21</v>
      </c>
      <c r="I28" s="13" t="s">
        <v>22</v>
      </c>
      <c r="J28" s="13" t="s">
        <v>23</v>
      </c>
      <c r="K28" s="14" t="s">
        <v>24</v>
      </c>
      <c r="L28" s="14" t="s">
        <v>25</v>
      </c>
      <c r="M28" s="15" t="s">
        <v>26</v>
      </c>
      <c r="N28" s="16" t="s">
        <v>27</v>
      </c>
    </row>
    <row r="29" spans="1:14" ht="12.75">
      <c r="A29" s="17" t="s">
        <v>62</v>
      </c>
      <c r="B29" s="62"/>
      <c r="C29" s="63" t="s">
        <v>63</v>
      </c>
      <c r="D29" s="64">
        <v>69</v>
      </c>
      <c r="E29" s="64">
        <v>69</v>
      </c>
      <c r="F29" s="64">
        <v>69</v>
      </c>
      <c r="G29" s="64">
        <v>69</v>
      </c>
      <c r="H29" s="64">
        <v>69</v>
      </c>
      <c r="I29" s="64">
        <v>69</v>
      </c>
      <c r="J29" s="64">
        <v>69</v>
      </c>
      <c r="K29" s="65">
        <v>69</v>
      </c>
      <c r="L29" s="66">
        <v>69</v>
      </c>
      <c r="M29" s="67">
        <v>69</v>
      </c>
      <c r="N29" s="68">
        <v>69</v>
      </c>
    </row>
    <row r="30" spans="1:14" ht="12.75">
      <c r="A30" s="17" t="s">
        <v>64</v>
      </c>
      <c r="B30" s="69" t="s">
        <v>65</v>
      </c>
      <c r="C30" s="27" t="s">
        <v>66</v>
      </c>
      <c r="D30" s="70">
        <v>42</v>
      </c>
      <c r="E30" s="70">
        <v>42</v>
      </c>
      <c r="F30" s="70">
        <v>42</v>
      </c>
      <c r="G30" s="71">
        <v>41</v>
      </c>
      <c r="H30" s="71">
        <v>41</v>
      </c>
      <c r="I30" s="71">
        <v>41</v>
      </c>
      <c r="J30" s="71">
        <v>41</v>
      </c>
      <c r="K30" s="72">
        <v>41</v>
      </c>
      <c r="L30" s="73">
        <v>41</v>
      </c>
      <c r="M30" s="74">
        <v>41</v>
      </c>
      <c r="N30" s="75">
        <v>41</v>
      </c>
    </row>
    <row r="31" spans="1:14" ht="12.75">
      <c r="A31" s="17" t="s">
        <v>67</v>
      </c>
      <c r="B31" s="69" t="s">
        <v>68</v>
      </c>
      <c r="C31" s="27" t="s">
        <v>69</v>
      </c>
      <c r="D31" s="70">
        <v>21</v>
      </c>
      <c r="E31" s="70">
        <v>21</v>
      </c>
      <c r="F31" s="70">
        <v>21</v>
      </c>
      <c r="G31" s="71">
        <v>21</v>
      </c>
      <c r="H31" s="71">
        <v>20</v>
      </c>
      <c r="I31" s="71">
        <v>20</v>
      </c>
      <c r="J31" s="71">
        <v>20</v>
      </c>
      <c r="K31" s="72">
        <v>20</v>
      </c>
      <c r="L31" s="73">
        <v>20</v>
      </c>
      <c r="M31" s="74">
        <v>20</v>
      </c>
      <c r="N31" s="75">
        <v>20</v>
      </c>
    </row>
    <row r="32" spans="1:14" ht="12.75">
      <c r="A32" s="17" t="s">
        <v>70</v>
      </c>
      <c r="B32" s="69" t="s">
        <v>71</v>
      </c>
      <c r="C32" s="76" t="s">
        <v>72</v>
      </c>
      <c r="D32" s="70">
        <v>20</v>
      </c>
      <c r="E32" s="70">
        <v>20</v>
      </c>
      <c r="F32" s="70">
        <v>20</v>
      </c>
      <c r="G32" s="71">
        <v>20</v>
      </c>
      <c r="H32" s="71">
        <v>20</v>
      </c>
      <c r="I32" s="71">
        <v>20</v>
      </c>
      <c r="J32" s="71">
        <v>20</v>
      </c>
      <c r="K32" s="72">
        <v>20</v>
      </c>
      <c r="L32" s="73">
        <v>20</v>
      </c>
      <c r="M32" s="74">
        <v>20</v>
      </c>
      <c r="N32" s="75">
        <v>20</v>
      </c>
    </row>
    <row r="33" spans="1:14" ht="12.75">
      <c r="A33" s="17" t="s">
        <v>73</v>
      </c>
      <c r="B33" s="69" t="s">
        <v>74</v>
      </c>
      <c r="C33" s="27" t="s">
        <v>75</v>
      </c>
      <c r="D33" s="70">
        <v>82</v>
      </c>
      <c r="E33" s="70">
        <v>82</v>
      </c>
      <c r="F33" s="70">
        <v>82</v>
      </c>
      <c r="G33" s="71">
        <v>82</v>
      </c>
      <c r="H33" s="71">
        <v>82</v>
      </c>
      <c r="I33" s="71">
        <v>82</v>
      </c>
      <c r="J33" s="71">
        <v>82</v>
      </c>
      <c r="K33" s="72">
        <v>82</v>
      </c>
      <c r="L33" s="73">
        <f>82-6</f>
        <v>76</v>
      </c>
      <c r="M33" s="74">
        <f>82-6</f>
        <v>76</v>
      </c>
      <c r="N33" s="75">
        <f>82-6</f>
        <v>76</v>
      </c>
    </row>
    <row r="34" spans="1:14" ht="12.75">
      <c r="A34" s="17" t="s">
        <v>76</v>
      </c>
      <c r="B34" s="69" t="s">
        <v>77</v>
      </c>
      <c r="C34" s="76" t="s">
        <v>78</v>
      </c>
      <c r="D34" s="70">
        <v>22</v>
      </c>
      <c r="E34" s="70">
        <v>25</v>
      </c>
      <c r="F34" s="70">
        <v>25</v>
      </c>
      <c r="G34" s="71">
        <v>18</v>
      </c>
      <c r="H34" s="71">
        <v>18</v>
      </c>
      <c r="I34" s="71">
        <v>18</v>
      </c>
      <c r="J34" s="71">
        <v>18</v>
      </c>
      <c r="K34" s="72">
        <v>18</v>
      </c>
      <c r="L34" s="73">
        <v>18</v>
      </c>
      <c r="M34" s="74">
        <v>18</v>
      </c>
      <c r="N34" s="75">
        <v>18</v>
      </c>
    </row>
    <row r="35" spans="1:14" ht="12.75">
      <c r="A35" s="17" t="s">
        <v>79</v>
      </c>
      <c r="B35" s="69" t="s">
        <v>80</v>
      </c>
      <c r="C35" s="27" t="s">
        <v>81</v>
      </c>
      <c r="D35" s="70">
        <v>65</v>
      </c>
      <c r="E35" s="70">
        <v>71</v>
      </c>
      <c r="F35" s="70">
        <v>71</v>
      </c>
      <c r="G35" s="71">
        <v>78</v>
      </c>
      <c r="H35" s="71">
        <v>78</v>
      </c>
      <c r="I35" s="72">
        <v>79</v>
      </c>
      <c r="J35" s="72">
        <f>79+6</f>
        <v>85</v>
      </c>
      <c r="K35" s="72">
        <f>79+6</f>
        <v>85</v>
      </c>
      <c r="L35" s="73">
        <v>90</v>
      </c>
      <c r="M35" s="74">
        <f>90+18-5</f>
        <v>103</v>
      </c>
      <c r="N35" s="75">
        <f>90+18-5+9</f>
        <v>112</v>
      </c>
    </row>
    <row r="36" spans="1:14" ht="13.5" thickBot="1">
      <c r="A36" s="17" t="s">
        <v>82</v>
      </c>
      <c r="B36" s="77" t="s">
        <v>83</v>
      </c>
      <c r="C36" s="41" t="s">
        <v>84</v>
      </c>
      <c r="D36" s="78">
        <v>11</v>
      </c>
      <c r="E36" s="78">
        <v>11</v>
      </c>
      <c r="F36" s="78">
        <v>11</v>
      </c>
      <c r="G36" s="79">
        <v>11</v>
      </c>
      <c r="H36" s="79">
        <v>11</v>
      </c>
      <c r="I36" s="80">
        <v>11</v>
      </c>
      <c r="J36" s="80">
        <v>11</v>
      </c>
      <c r="K36" s="46">
        <v>19</v>
      </c>
      <c r="L36" s="47">
        <v>19</v>
      </c>
      <c r="M36" s="48">
        <v>19</v>
      </c>
      <c r="N36" s="49">
        <v>19</v>
      </c>
    </row>
    <row r="37" spans="1:14" ht="15.75" thickBot="1">
      <c r="A37" s="50" t="s">
        <v>85</v>
      </c>
      <c r="B37" s="81"/>
      <c r="C37" s="82" t="s">
        <v>58</v>
      </c>
      <c r="D37" s="82">
        <f aca="true" t="shared" si="2" ref="D37:N37">SUM(D29:D36)</f>
        <v>332</v>
      </c>
      <c r="E37" s="82">
        <f t="shared" si="2"/>
        <v>341</v>
      </c>
      <c r="F37" s="82">
        <f t="shared" si="2"/>
        <v>341</v>
      </c>
      <c r="G37" s="82">
        <f t="shared" si="2"/>
        <v>340</v>
      </c>
      <c r="H37" s="82">
        <f t="shared" si="2"/>
        <v>339</v>
      </c>
      <c r="I37" s="82">
        <f t="shared" si="2"/>
        <v>340</v>
      </c>
      <c r="J37" s="82">
        <f t="shared" si="2"/>
        <v>346</v>
      </c>
      <c r="K37" s="83">
        <f t="shared" si="2"/>
        <v>354</v>
      </c>
      <c r="L37" s="84">
        <f t="shared" si="2"/>
        <v>353</v>
      </c>
      <c r="M37" s="85">
        <f t="shared" si="2"/>
        <v>366</v>
      </c>
      <c r="N37" s="86">
        <f t="shared" si="2"/>
        <v>375</v>
      </c>
    </row>
    <row r="38" ht="12.75">
      <c r="L38" s="59"/>
    </row>
    <row r="39" ht="12.75">
      <c r="L39" s="87"/>
    </row>
    <row r="41" ht="12.75">
      <c r="L41" s="87"/>
    </row>
  </sheetData>
  <mergeCells count="1">
    <mergeCell ref="A1:N1"/>
  </mergeCells>
  <printOptions horizontalCentered="1"/>
  <pageMargins left="0.7875" right="0.7875" top="0.5902777777777777" bottom="0.39375" header="0.5118055555555555" footer="0.5118055555555555"/>
  <pageSetup horizontalDpi="300" verticalDpi="300" orientation="landscape" scale="95" r:id="rId1"/>
  <headerFooter alignWithMargins="0">
    <oddHeader>&amp;L&amp;8 7. melléklet a ..../....(.....)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55">
      <pane ySplit="1" topLeftCell="BM94" activePane="bottomLeft" state="split"/>
      <selection pane="topLeft" activeCell="J21" sqref="J21"/>
      <selection pane="bottomLeft" activeCell="C118" sqref="C118"/>
    </sheetView>
  </sheetViews>
  <sheetFormatPr defaultColWidth="9.00390625" defaultRowHeight="12.75"/>
  <cols>
    <col min="1" max="1" width="3.25390625" style="211" customWidth="1"/>
    <col min="2" max="2" width="62.875" style="211" customWidth="1"/>
    <col min="3" max="4" width="11.125" style="211" customWidth="1"/>
    <col min="5" max="16384" width="9.125" style="211" customWidth="1"/>
  </cols>
  <sheetData>
    <row r="1" spans="2:4" ht="15">
      <c r="B1" s="510" t="s">
        <v>445</v>
      </c>
      <c r="C1" s="510"/>
      <c r="D1" s="510"/>
    </row>
    <row r="2" spans="2:4" ht="15">
      <c r="B2" s="244"/>
      <c r="C2" s="244"/>
      <c r="D2" s="244"/>
    </row>
    <row r="3" spans="2:4" ht="15">
      <c r="B3" s="244"/>
      <c r="C3" s="244"/>
      <c r="D3" s="244"/>
    </row>
    <row r="4" spans="2:4" ht="15">
      <c r="B4" s="244"/>
      <c r="C4" s="244"/>
      <c r="D4" s="244"/>
    </row>
    <row r="6" spans="3:4" ht="13.5" thickBot="1">
      <c r="C6" s="511" t="s">
        <v>87</v>
      </c>
      <c r="D6" s="511"/>
    </row>
    <row r="7" spans="1:5" ht="13.5" thickBot="1">
      <c r="A7" s="427"/>
      <c r="B7" s="431" t="s">
        <v>2</v>
      </c>
      <c r="C7" s="442" t="s">
        <v>88</v>
      </c>
      <c r="D7" s="442" t="s">
        <v>4</v>
      </c>
      <c r="E7" s="432" t="s">
        <v>5</v>
      </c>
    </row>
    <row r="8" spans="1:5" ht="24.75" customHeight="1" thickBot="1">
      <c r="A8" s="428"/>
      <c r="B8" s="439" t="s">
        <v>446</v>
      </c>
      <c r="C8" s="455" t="s">
        <v>447</v>
      </c>
      <c r="D8" s="456" t="s">
        <v>448</v>
      </c>
      <c r="E8" s="457" t="s">
        <v>449</v>
      </c>
    </row>
    <row r="9" spans="1:5" ht="15" customHeight="1">
      <c r="A9" s="429" t="s">
        <v>28</v>
      </c>
      <c r="B9" s="245" t="s">
        <v>450</v>
      </c>
      <c r="C9" s="246">
        <v>159040</v>
      </c>
      <c r="D9" s="246">
        <f>159040</f>
        <v>159040</v>
      </c>
      <c r="E9" s="458">
        <f>159040+41238</f>
        <v>200278</v>
      </c>
    </row>
    <row r="10" spans="1:5" ht="15" customHeight="1">
      <c r="A10" s="429" t="s">
        <v>30</v>
      </c>
      <c r="B10" s="245" t="s">
        <v>451</v>
      </c>
      <c r="C10" s="247">
        <v>39760</v>
      </c>
      <c r="D10" s="247">
        <v>39760</v>
      </c>
      <c r="E10" s="459">
        <v>39760</v>
      </c>
    </row>
    <row r="11" spans="1:5" ht="15" customHeight="1">
      <c r="A11" s="429" t="s">
        <v>32</v>
      </c>
      <c r="B11" s="220" t="s">
        <v>452</v>
      </c>
      <c r="C11" s="247"/>
      <c r="D11" s="247"/>
      <c r="E11" s="459"/>
    </row>
    <row r="12" spans="1:5" ht="15" customHeight="1">
      <c r="A12" s="429" t="s">
        <v>34</v>
      </c>
      <c r="B12" s="220" t="s">
        <v>453</v>
      </c>
      <c r="C12" s="247">
        <v>580940</v>
      </c>
      <c r="D12" s="247">
        <v>580940</v>
      </c>
      <c r="E12" s="459">
        <v>580940</v>
      </c>
    </row>
    <row r="13" spans="1:5" ht="15" customHeight="1">
      <c r="A13" s="429" t="s">
        <v>36</v>
      </c>
      <c r="B13" s="220" t="s">
        <v>454</v>
      </c>
      <c r="C13" s="247">
        <v>45878</v>
      </c>
      <c r="D13" s="247">
        <v>45878</v>
      </c>
      <c r="E13" s="459">
        <v>45878</v>
      </c>
    </row>
    <row r="14" spans="1:5" ht="15" customHeight="1">
      <c r="A14" s="429" t="s">
        <v>38</v>
      </c>
      <c r="B14" s="220" t="s">
        <v>455</v>
      </c>
      <c r="C14" s="247">
        <v>105822</v>
      </c>
      <c r="D14" s="247">
        <v>105822</v>
      </c>
      <c r="E14" s="459">
        <v>105822</v>
      </c>
    </row>
    <row r="15" spans="1:5" ht="15" customHeight="1">
      <c r="A15" s="429" t="s">
        <v>40</v>
      </c>
      <c r="B15" s="248" t="s">
        <v>456</v>
      </c>
      <c r="C15" s="247">
        <v>183160</v>
      </c>
      <c r="D15" s="247">
        <v>183160</v>
      </c>
      <c r="E15" s="459">
        <v>183160</v>
      </c>
    </row>
    <row r="16" spans="1:5" ht="15" customHeight="1">
      <c r="A16" s="429" t="s">
        <v>42</v>
      </c>
      <c r="B16" s="220" t="s">
        <v>457</v>
      </c>
      <c r="C16" s="247">
        <v>9644</v>
      </c>
      <c r="D16" s="247">
        <v>9644</v>
      </c>
      <c r="E16" s="459">
        <v>9644</v>
      </c>
    </row>
    <row r="17" spans="1:5" ht="15" customHeight="1">
      <c r="A17" s="429" t="s">
        <v>44</v>
      </c>
      <c r="B17" s="220" t="s">
        <v>458</v>
      </c>
      <c r="C17" s="247">
        <v>1100</v>
      </c>
      <c r="D17" s="247">
        <v>1100</v>
      </c>
      <c r="E17" s="459">
        <v>1100</v>
      </c>
    </row>
    <row r="18" spans="1:5" ht="15" customHeight="1">
      <c r="A18" s="429" t="s">
        <v>46</v>
      </c>
      <c r="B18" s="220" t="s">
        <v>459</v>
      </c>
      <c r="C18" s="247">
        <v>24280</v>
      </c>
      <c r="D18" s="247">
        <v>24280</v>
      </c>
      <c r="E18" s="459">
        <v>24280</v>
      </c>
    </row>
    <row r="19" spans="1:5" ht="15" customHeight="1">
      <c r="A19" s="429" t="s">
        <v>48</v>
      </c>
      <c r="B19" s="220" t="s">
        <v>460</v>
      </c>
      <c r="C19" s="247">
        <v>4353</v>
      </c>
      <c r="D19" s="247">
        <v>4353</v>
      </c>
      <c r="E19" s="459">
        <v>4353</v>
      </c>
    </row>
    <row r="20" spans="1:5" ht="15" customHeight="1">
      <c r="A20" s="429" t="s">
        <v>50</v>
      </c>
      <c r="B20" s="220" t="s">
        <v>461</v>
      </c>
      <c r="C20" s="247">
        <v>61464</v>
      </c>
      <c r="D20" s="247">
        <v>61464</v>
      </c>
      <c r="E20" s="459">
        <v>61464</v>
      </c>
    </row>
    <row r="21" spans="1:5" ht="15" customHeight="1">
      <c r="A21" s="429" t="s">
        <v>52</v>
      </c>
      <c r="B21" s="248" t="s">
        <v>462</v>
      </c>
      <c r="C21" s="247">
        <v>1650</v>
      </c>
      <c r="D21" s="247">
        <v>1650</v>
      </c>
      <c r="E21" s="459">
        <v>1650</v>
      </c>
    </row>
    <row r="22" spans="1:5" ht="15" customHeight="1">
      <c r="A22" s="429" t="s">
        <v>54</v>
      </c>
      <c r="B22" s="220" t="s">
        <v>463</v>
      </c>
      <c r="C22" s="247">
        <v>148572</v>
      </c>
      <c r="D22" s="247">
        <v>148572</v>
      </c>
      <c r="E22" s="459">
        <v>148572</v>
      </c>
    </row>
    <row r="23" spans="1:5" ht="15" customHeight="1">
      <c r="A23" s="429" t="s">
        <v>56</v>
      </c>
      <c r="B23" s="249" t="s">
        <v>464</v>
      </c>
      <c r="C23" s="247">
        <v>16508</v>
      </c>
      <c r="D23" s="247">
        <v>16508</v>
      </c>
      <c r="E23" s="459">
        <v>16508</v>
      </c>
    </row>
    <row r="24" spans="1:5" ht="15" customHeight="1">
      <c r="A24" s="429" t="s">
        <v>57</v>
      </c>
      <c r="B24" s="248" t="s">
        <v>465</v>
      </c>
      <c r="C24" s="247">
        <v>461456</v>
      </c>
      <c r="D24" s="247">
        <v>461456</v>
      </c>
      <c r="E24" s="459">
        <v>461456</v>
      </c>
    </row>
    <row r="25" spans="1:5" ht="15" customHeight="1">
      <c r="A25" s="429" t="s">
        <v>62</v>
      </c>
      <c r="B25" s="248" t="s">
        <v>466</v>
      </c>
      <c r="C25" s="247">
        <v>164375</v>
      </c>
      <c r="D25" s="247">
        <v>164375</v>
      </c>
      <c r="E25" s="459">
        <v>164375</v>
      </c>
    </row>
    <row r="26" spans="1:5" ht="15" customHeight="1">
      <c r="A26" s="429" t="s">
        <v>64</v>
      </c>
      <c r="B26" s="248" t="s">
        <v>467</v>
      </c>
      <c r="C26" s="247">
        <v>108557</v>
      </c>
      <c r="D26" s="247">
        <v>108557</v>
      </c>
      <c r="E26" s="459">
        <v>108557</v>
      </c>
    </row>
    <row r="27" spans="1:5" ht="15" customHeight="1">
      <c r="A27" s="429" t="s">
        <v>67</v>
      </c>
      <c r="B27" s="220" t="s">
        <v>468</v>
      </c>
      <c r="C27" s="247">
        <v>8750</v>
      </c>
      <c r="D27" s="247">
        <v>8750</v>
      </c>
      <c r="E27" s="459">
        <v>8750</v>
      </c>
    </row>
    <row r="28" spans="1:5" ht="15" customHeight="1">
      <c r="A28" s="429" t="s">
        <v>70</v>
      </c>
      <c r="B28" s="220" t="s">
        <v>469</v>
      </c>
      <c r="C28" s="247">
        <v>8000</v>
      </c>
      <c r="D28" s="247">
        <f>8000</f>
        <v>8000</v>
      </c>
      <c r="E28" s="459">
        <f>8000+2000</f>
        <v>10000</v>
      </c>
    </row>
    <row r="29" spans="1:5" ht="15" customHeight="1">
      <c r="A29" s="429" t="s">
        <v>73</v>
      </c>
      <c r="B29" s="220" t="s">
        <v>324</v>
      </c>
      <c r="C29" s="247">
        <v>50000</v>
      </c>
      <c r="D29" s="247">
        <v>50000</v>
      </c>
      <c r="E29" s="459">
        <v>50000</v>
      </c>
    </row>
    <row r="30" spans="1:5" ht="15" customHeight="1">
      <c r="A30" s="429" t="s">
        <v>76</v>
      </c>
      <c r="B30" s="220" t="s">
        <v>334</v>
      </c>
      <c r="C30" s="247">
        <v>9800</v>
      </c>
      <c r="D30" s="247">
        <v>9800</v>
      </c>
      <c r="E30" s="459">
        <v>9800</v>
      </c>
    </row>
    <row r="31" spans="1:5" ht="15" customHeight="1">
      <c r="A31" s="429" t="s">
        <v>79</v>
      </c>
      <c r="B31" s="220" t="s">
        <v>470</v>
      </c>
      <c r="C31" s="247">
        <v>563</v>
      </c>
      <c r="D31" s="247">
        <f>563</f>
        <v>563</v>
      </c>
      <c r="E31" s="459">
        <f>563+290</f>
        <v>853</v>
      </c>
    </row>
    <row r="32" spans="1:5" ht="15" customHeight="1">
      <c r="A32" s="429" t="s">
        <v>82</v>
      </c>
      <c r="B32" s="220" t="s">
        <v>471</v>
      </c>
      <c r="C32" s="247">
        <v>42000</v>
      </c>
      <c r="D32" s="247">
        <v>42000</v>
      </c>
      <c r="E32" s="459">
        <v>42000</v>
      </c>
    </row>
    <row r="33" spans="1:5" ht="15" customHeight="1">
      <c r="A33" s="429" t="s">
        <v>85</v>
      </c>
      <c r="B33" s="220" t="s">
        <v>472</v>
      </c>
      <c r="C33" s="241"/>
      <c r="D33" s="241">
        <v>602115</v>
      </c>
      <c r="E33" s="434">
        <v>602115</v>
      </c>
    </row>
    <row r="34" spans="1:5" ht="15" customHeight="1">
      <c r="A34" s="429" t="s">
        <v>119</v>
      </c>
      <c r="B34" s="220" t="s">
        <v>473</v>
      </c>
      <c r="C34" s="241"/>
      <c r="D34" s="241">
        <v>18000</v>
      </c>
      <c r="E34" s="434">
        <v>18000</v>
      </c>
    </row>
    <row r="35" spans="1:5" ht="15" customHeight="1">
      <c r="A35" s="429" t="s">
        <v>121</v>
      </c>
      <c r="B35" s="220" t="s">
        <v>474</v>
      </c>
      <c r="C35" s="241"/>
      <c r="D35" s="241">
        <v>320</v>
      </c>
      <c r="E35" s="434">
        <v>320</v>
      </c>
    </row>
    <row r="36" spans="1:5" ht="15" customHeight="1">
      <c r="A36" s="429" t="s">
        <v>123</v>
      </c>
      <c r="B36" s="220" t="s">
        <v>475</v>
      </c>
      <c r="C36" s="241"/>
      <c r="D36" s="241">
        <v>719594</v>
      </c>
      <c r="E36" s="434">
        <v>719594</v>
      </c>
    </row>
    <row r="37" spans="1:5" ht="15" customHeight="1">
      <c r="A37" s="429" t="s">
        <v>125</v>
      </c>
      <c r="B37" s="220" t="s">
        <v>476</v>
      </c>
      <c r="C37" s="241"/>
      <c r="D37" s="241">
        <f>1050+10000</f>
        <v>11050</v>
      </c>
      <c r="E37" s="434">
        <f>1050+10000</f>
        <v>11050</v>
      </c>
    </row>
    <row r="38" spans="1:5" ht="15" customHeight="1">
      <c r="A38" s="429" t="s">
        <v>127</v>
      </c>
      <c r="B38" s="220" t="s">
        <v>477</v>
      </c>
      <c r="C38" s="241"/>
      <c r="D38" s="250">
        <v>53489</v>
      </c>
      <c r="E38" s="460">
        <v>53489</v>
      </c>
    </row>
    <row r="39" spans="1:5" ht="15" customHeight="1">
      <c r="A39" s="429" t="s">
        <v>129</v>
      </c>
      <c r="B39" s="220" t="s">
        <v>478</v>
      </c>
      <c r="C39" s="241"/>
      <c r="D39" s="250">
        <v>6611</v>
      </c>
      <c r="E39" s="460">
        <v>6611</v>
      </c>
    </row>
    <row r="40" spans="1:5" ht="15" customHeight="1">
      <c r="A40" s="429" t="s">
        <v>131</v>
      </c>
      <c r="B40" s="220" t="s">
        <v>479</v>
      </c>
      <c r="C40" s="250"/>
      <c r="D40" s="250">
        <v>1400</v>
      </c>
      <c r="E40" s="460">
        <v>1400</v>
      </c>
    </row>
    <row r="41" spans="1:5" ht="15" customHeight="1">
      <c r="A41" s="429" t="s">
        <v>133</v>
      </c>
      <c r="B41" s="220" t="s">
        <v>480</v>
      </c>
      <c r="C41" s="241"/>
      <c r="D41" s="241">
        <v>2200</v>
      </c>
      <c r="E41" s="434">
        <f>2200+3762</f>
        <v>5962</v>
      </c>
    </row>
    <row r="42" spans="1:5" ht="15" customHeight="1">
      <c r="A42" s="429" t="s">
        <v>135</v>
      </c>
      <c r="B42" s="220" t="s">
        <v>481</v>
      </c>
      <c r="C42" s="241"/>
      <c r="D42" s="241">
        <v>17966</v>
      </c>
      <c r="E42" s="434">
        <v>17966</v>
      </c>
    </row>
    <row r="43" spans="1:5" ht="15" customHeight="1">
      <c r="A43" s="429" t="s">
        <v>137</v>
      </c>
      <c r="B43" s="220" t="s">
        <v>482</v>
      </c>
      <c r="C43" s="241"/>
      <c r="D43" s="241">
        <v>211</v>
      </c>
      <c r="E43" s="434">
        <v>211</v>
      </c>
    </row>
    <row r="44" spans="1:5" ht="15" customHeight="1">
      <c r="A44" s="429" t="s">
        <v>139</v>
      </c>
      <c r="B44" s="220" t="s">
        <v>483</v>
      </c>
      <c r="C44" s="250"/>
      <c r="D44" s="250"/>
      <c r="E44" s="460">
        <v>390</v>
      </c>
    </row>
    <row r="45" spans="1:5" ht="15" customHeight="1">
      <c r="A45" s="429" t="s">
        <v>141</v>
      </c>
      <c r="B45" s="220" t="s">
        <v>484</v>
      </c>
      <c r="C45" s="241"/>
      <c r="D45" s="241"/>
      <c r="E45" s="434">
        <v>3252</v>
      </c>
    </row>
    <row r="46" spans="1:5" ht="15" customHeight="1">
      <c r="A46" s="429" t="s">
        <v>142</v>
      </c>
      <c r="B46" s="220"/>
      <c r="C46" s="241"/>
      <c r="D46" s="243"/>
      <c r="E46" s="435"/>
    </row>
    <row r="47" spans="1:5" ht="15" customHeight="1">
      <c r="A47" s="429" t="s">
        <v>144</v>
      </c>
      <c r="B47" s="220"/>
      <c r="C47" s="250"/>
      <c r="D47" s="250"/>
      <c r="E47" s="460"/>
    </row>
    <row r="48" spans="1:5" ht="15" customHeight="1" thickBot="1">
      <c r="A48" s="429" t="s">
        <v>146</v>
      </c>
      <c r="B48" s="226"/>
      <c r="C48" s="451"/>
      <c r="D48" s="451"/>
      <c r="E48" s="461"/>
    </row>
    <row r="49" spans="1:5" ht="15" customHeight="1" thickBot="1">
      <c r="A49" s="430" t="s">
        <v>148</v>
      </c>
      <c r="B49" s="454" t="s">
        <v>485</v>
      </c>
      <c r="C49" s="452">
        <f>SUM(C9:C48)</f>
        <v>2235672</v>
      </c>
      <c r="D49" s="452">
        <f>SUM(D9:D48)</f>
        <v>3668628</v>
      </c>
      <c r="E49" s="453">
        <f>SUM(E9:E48)</f>
        <v>3719560</v>
      </c>
    </row>
    <row r="50" spans="2:3" ht="12.75">
      <c r="B50" s="251"/>
      <c r="C50" s="252"/>
    </row>
    <row r="51" spans="2:3" ht="12.75">
      <c r="B51" s="251"/>
      <c r="C51" s="253"/>
    </row>
    <row r="52" spans="2:3" ht="12.75">
      <c r="B52" s="251"/>
      <c r="C52" s="253"/>
    </row>
    <row r="53" spans="2:3" ht="12.75">
      <c r="B53" s="251"/>
      <c r="C53" s="253"/>
    </row>
    <row r="54" spans="2:3" ht="12.75">
      <c r="B54" s="251"/>
      <c r="C54" s="253"/>
    </row>
    <row r="55" spans="2:3" ht="12.75">
      <c r="B55" s="251"/>
      <c r="C55" s="253"/>
    </row>
    <row r="56" spans="2:3" ht="12.75">
      <c r="B56" s="251"/>
      <c r="C56" s="253"/>
    </row>
    <row r="57" spans="2:3" ht="12.75">
      <c r="B57" s="251"/>
      <c r="C57" s="253"/>
    </row>
    <row r="58" spans="2:3" ht="12.75">
      <c r="B58" s="251"/>
      <c r="C58" s="253"/>
    </row>
    <row r="59" spans="2:3" ht="12.75">
      <c r="B59" s="251"/>
      <c r="C59" s="253"/>
    </row>
    <row r="60" spans="2:3" ht="12.75">
      <c r="B60" s="251"/>
      <c r="C60" s="253"/>
    </row>
    <row r="61" spans="2:3" ht="12.75">
      <c r="B61" s="251"/>
      <c r="C61" s="253"/>
    </row>
    <row r="62" spans="2:3" ht="12.75">
      <c r="B62" s="251"/>
      <c r="C62" s="253"/>
    </row>
    <row r="63" spans="2:3" ht="12.75">
      <c r="B63" s="251"/>
      <c r="C63" s="253"/>
    </row>
    <row r="64" spans="2:3" ht="12.75">
      <c r="B64" s="251"/>
      <c r="C64" s="253"/>
    </row>
    <row r="65" spans="2:3" ht="12.75">
      <c r="B65" s="251"/>
      <c r="C65" s="253"/>
    </row>
    <row r="66" spans="2:3" ht="12.75">
      <c r="B66" s="251"/>
      <c r="C66" s="253"/>
    </row>
    <row r="67" spans="2:4" ht="15">
      <c r="B67" s="510" t="s">
        <v>486</v>
      </c>
      <c r="C67" s="510"/>
      <c r="D67" s="510"/>
    </row>
    <row r="68" spans="2:4" ht="15">
      <c r="B68" s="244"/>
      <c r="C68" s="244"/>
      <c r="D68" s="244"/>
    </row>
    <row r="69" spans="2:4" ht="15">
      <c r="B69" s="244"/>
      <c r="C69" s="244"/>
      <c r="D69" s="244"/>
    </row>
    <row r="70" spans="2:4" ht="15">
      <c r="B70" s="244"/>
      <c r="C70" s="244"/>
      <c r="D70" s="244"/>
    </row>
    <row r="71" spans="2:4" ht="15">
      <c r="B71" s="244"/>
      <c r="C71" s="244"/>
      <c r="D71" s="244"/>
    </row>
    <row r="72" spans="2:4" ht="13.5" thickBot="1">
      <c r="B72" s="254"/>
      <c r="C72" s="511" t="s">
        <v>87</v>
      </c>
      <c r="D72" s="511"/>
    </row>
    <row r="73" spans="1:5" ht="13.5" thickBot="1">
      <c r="A73" s="427"/>
      <c r="B73" s="431" t="s">
        <v>2</v>
      </c>
      <c r="C73" s="442" t="s">
        <v>88</v>
      </c>
      <c r="D73" s="442" t="s">
        <v>4</v>
      </c>
      <c r="E73" s="432" t="s">
        <v>5</v>
      </c>
    </row>
    <row r="74" spans="1:5" ht="24.75" customHeight="1" thickBot="1">
      <c r="A74" s="428"/>
      <c r="B74" s="439" t="s">
        <v>487</v>
      </c>
      <c r="C74" s="455" t="s">
        <v>447</v>
      </c>
      <c r="D74" s="456" t="s">
        <v>448</v>
      </c>
      <c r="E74" s="457" t="s">
        <v>449</v>
      </c>
    </row>
    <row r="75" spans="1:5" ht="15" customHeight="1">
      <c r="A75" s="429" t="s">
        <v>150</v>
      </c>
      <c r="B75" s="213" t="s">
        <v>488</v>
      </c>
      <c r="C75" s="239">
        <v>39760</v>
      </c>
      <c r="D75" s="239">
        <v>39760</v>
      </c>
      <c r="E75" s="433">
        <v>39760</v>
      </c>
    </row>
    <row r="76" spans="1:5" ht="15" customHeight="1">
      <c r="A76" s="429" t="s">
        <v>152</v>
      </c>
      <c r="B76" s="220" t="s">
        <v>489</v>
      </c>
      <c r="C76" s="241"/>
      <c r="D76" s="241"/>
      <c r="E76" s="434"/>
    </row>
    <row r="77" spans="1:5" ht="15" customHeight="1">
      <c r="A77" s="429" t="s">
        <v>153</v>
      </c>
      <c r="B77" s="248" t="s">
        <v>490</v>
      </c>
      <c r="C77" s="241">
        <v>732640</v>
      </c>
      <c r="D77" s="241">
        <v>732640</v>
      </c>
      <c r="E77" s="434">
        <v>732640</v>
      </c>
    </row>
    <row r="78" spans="1:5" ht="15" customHeight="1">
      <c r="A78" s="429" t="s">
        <v>155</v>
      </c>
      <c r="B78" s="248" t="s">
        <v>491</v>
      </c>
      <c r="C78" s="241">
        <v>183160</v>
      </c>
      <c r="D78" s="241">
        <v>183160</v>
      </c>
      <c r="E78" s="434">
        <v>183160</v>
      </c>
    </row>
    <row r="79" spans="1:5" ht="15" customHeight="1">
      <c r="A79" s="429" t="s">
        <v>157</v>
      </c>
      <c r="B79" s="248" t="s">
        <v>492</v>
      </c>
      <c r="C79" s="241">
        <v>8660</v>
      </c>
      <c r="D79" s="241">
        <v>8660</v>
      </c>
      <c r="E79" s="434">
        <v>8660</v>
      </c>
    </row>
    <row r="80" spans="1:5" ht="15" customHeight="1">
      <c r="A80" s="429" t="s">
        <v>159</v>
      </c>
      <c r="B80" s="248" t="s">
        <v>493</v>
      </c>
      <c r="C80" s="241">
        <v>165080</v>
      </c>
      <c r="D80" s="241">
        <v>165080</v>
      </c>
      <c r="E80" s="434">
        <v>165080</v>
      </c>
    </row>
    <row r="81" spans="1:5" ht="15" customHeight="1">
      <c r="A81" s="429" t="s">
        <v>161</v>
      </c>
      <c r="B81" s="220" t="s">
        <v>461</v>
      </c>
      <c r="C81" s="241">
        <v>63114</v>
      </c>
      <c r="D81" s="241">
        <v>63114</v>
      </c>
      <c r="E81" s="434">
        <v>63114</v>
      </c>
    </row>
    <row r="82" spans="1:5" ht="15" customHeight="1">
      <c r="A82" s="429" t="s">
        <v>163</v>
      </c>
      <c r="B82" s="248" t="s">
        <v>494</v>
      </c>
      <c r="C82" s="241">
        <v>108557</v>
      </c>
      <c r="D82" s="241">
        <v>108557</v>
      </c>
      <c r="E82" s="434">
        <v>108557</v>
      </c>
    </row>
    <row r="83" spans="1:5" ht="15" customHeight="1">
      <c r="A83" s="429" t="s">
        <v>165</v>
      </c>
      <c r="B83" s="220" t="s">
        <v>495</v>
      </c>
      <c r="C83" s="241">
        <f>20000+10325-1000</f>
        <v>29325</v>
      </c>
      <c r="D83" s="241">
        <f>20000+10325-1000</f>
        <v>29325</v>
      </c>
      <c r="E83" s="434">
        <f>20000+10325-1000</f>
        <v>29325</v>
      </c>
    </row>
    <row r="84" spans="1:5" ht="15" customHeight="1">
      <c r="A84" s="429" t="s">
        <v>167</v>
      </c>
      <c r="B84" s="248" t="s">
        <v>496</v>
      </c>
      <c r="C84" s="241">
        <v>625831</v>
      </c>
      <c r="D84" s="241">
        <v>625831</v>
      </c>
      <c r="E84" s="434">
        <v>625831</v>
      </c>
    </row>
    <row r="85" spans="1:5" ht="15" customHeight="1">
      <c r="A85" s="429" t="s">
        <v>169</v>
      </c>
      <c r="B85" s="248" t="s">
        <v>497</v>
      </c>
      <c r="C85" s="241">
        <v>8000</v>
      </c>
      <c r="D85" s="241">
        <v>8000</v>
      </c>
      <c r="E85" s="434">
        <v>0</v>
      </c>
    </row>
    <row r="86" spans="1:5" ht="15" customHeight="1">
      <c r="A86" s="429" t="s">
        <v>171</v>
      </c>
      <c r="B86" s="248" t="s">
        <v>498</v>
      </c>
      <c r="C86" s="241">
        <v>10000</v>
      </c>
      <c r="D86" s="241">
        <v>10000</v>
      </c>
      <c r="E86" s="434">
        <v>10000</v>
      </c>
    </row>
    <row r="87" spans="1:5" ht="15" customHeight="1">
      <c r="A87" s="429" t="s">
        <v>172</v>
      </c>
      <c r="B87" s="220" t="s">
        <v>499</v>
      </c>
      <c r="C87" s="241">
        <v>35000</v>
      </c>
      <c r="D87" s="241">
        <v>35000</v>
      </c>
      <c r="E87" s="434">
        <v>35000</v>
      </c>
    </row>
    <row r="88" spans="1:5" ht="15" customHeight="1">
      <c r="A88" s="429" t="s">
        <v>174</v>
      </c>
      <c r="B88" s="220" t="s">
        <v>500</v>
      </c>
      <c r="C88" s="241">
        <v>8750</v>
      </c>
      <c r="D88" s="241">
        <v>8750</v>
      </c>
      <c r="E88" s="434">
        <v>8750</v>
      </c>
    </row>
    <row r="89" spans="1:5" ht="15" customHeight="1">
      <c r="A89" s="429" t="s">
        <v>178</v>
      </c>
      <c r="B89" s="220" t="s">
        <v>501</v>
      </c>
      <c r="C89" s="241">
        <v>12436</v>
      </c>
      <c r="D89" s="241">
        <v>12436</v>
      </c>
      <c r="E89" s="434">
        <v>12436</v>
      </c>
    </row>
    <row r="90" spans="1:5" ht="15" customHeight="1">
      <c r="A90" s="429" t="s">
        <v>180</v>
      </c>
      <c r="B90" s="220" t="s">
        <v>502</v>
      </c>
      <c r="C90" s="241">
        <v>1000</v>
      </c>
      <c r="D90" s="241">
        <v>1000</v>
      </c>
      <c r="E90" s="434">
        <v>1000</v>
      </c>
    </row>
    <row r="91" spans="1:5" ht="15" customHeight="1">
      <c r="A91" s="429" t="s">
        <v>182</v>
      </c>
      <c r="B91" s="220" t="s">
        <v>503</v>
      </c>
      <c r="C91" s="241">
        <v>800</v>
      </c>
      <c r="D91" s="241">
        <v>800</v>
      </c>
      <c r="E91" s="434">
        <v>800</v>
      </c>
    </row>
    <row r="92" spans="1:5" ht="15" customHeight="1">
      <c r="A92" s="429" t="s">
        <v>184</v>
      </c>
      <c r="B92" s="220" t="s">
        <v>504</v>
      </c>
      <c r="C92" s="241">
        <v>8000</v>
      </c>
      <c r="D92" s="241">
        <v>8000</v>
      </c>
      <c r="E92" s="434">
        <f>8000+2000</f>
        <v>10000</v>
      </c>
    </row>
    <row r="93" spans="1:5" ht="15" customHeight="1">
      <c r="A93" s="429" t="s">
        <v>186</v>
      </c>
      <c r="B93" s="220" t="s">
        <v>505</v>
      </c>
      <c r="C93" s="241">
        <v>90187</v>
      </c>
      <c r="D93" s="241">
        <v>90187</v>
      </c>
      <c r="E93" s="434">
        <v>90187</v>
      </c>
    </row>
    <row r="94" spans="1:5" ht="15" customHeight="1">
      <c r="A94" s="429" t="s">
        <v>188</v>
      </c>
      <c r="B94" s="220" t="s">
        <v>506</v>
      </c>
      <c r="C94" s="241">
        <v>2009</v>
      </c>
      <c r="D94" s="241">
        <v>2009</v>
      </c>
      <c r="E94" s="434">
        <v>2009</v>
      </c>
    </row>
    <row r="95" spans="1:5" ht="15" customHeight="1">
      <c r="A95" s="429" t="s">
        <v>190</v>
      </c>
      <c r="B95" s="220" t="s">
        <v>333</v>
      </c>
      <c r="C95" s="241">
        <v>50000</v>
      </c>
      <c r="D95" s="241">
        <v>50000</v>
      </c>
      <c r="E95" s="434">
        <v>50000</v>
      </c>
    </row>
    <row r="96" spans="1:5" ht="15" customHeight="1">
      <c r="A96" s="429" t="s">
        <v>192</v>
      </c>
      <c r="B96" s="220" t="s">
        <v>330</v>
      </c>
      <c r="C96" s="241">
        <v>5000</v>
      </c>
      <c r="D96" s="241">
        <v>5000</v>
      </c>
      <c r="E96" s="434">
        <v>5000</v>
      </c>
    </row>
    <row r="97" spans="1:5" ht="15" customHeight="1">
      <c r="A97" s="429" t="s">
        <v>194</v>
      </c>
      <c r="B97" s="220" t="s">
        <v>507</v>
      </c>
      <c r="C97" s="241">
        <v>563</v>
      </c>
      <c r="D97" s="241">
        <v>563</v>
      </c>
      <c r="E97" s="434">
        <f>563+290</f>
        <v>853</v>
      </c>
    </row>
    <row r="98" spans="1:5" ht="15" customHeight="1">
      <c r="A98" s="429" t="s">
        <v>196</v>
      </c>
      <c r="B98" s="220" t="s">
        <v>508</v>
      </c>
      <c r="C98" s="241">
        <v>42000</v>
      </c>
      <c r="D98" s="241">
        <f>42000+602115</f>
        <v>644115</v>
      </c>
      <c r="E98" s="434">
        <f>42000+602115</f>
        <v>644115</v>
      </c>
    </row>
    <row r="99" spans="1:5" ht="15" customHeight="1">
      <c r="A99" s="429" t="s">
        <v>198</v>
      </c>
      <c r="B99" s="220" t="s">
        <v>509</v>
      </c>
      <c r="C99" s="241">
        <v>1000</v>
      </c>
      <c r="D99" s="241">
        <v>1000</v>
      </c>
      <c r="E99" s="434">
        <v>1000</v>
      </c>
    </row>
    <row r="100" spans="1:5" ht="15" customHeight="1">
      <c r="A100" s="429" t="s">
        <v>200</v>
      </c>
      <c r="B100" s="220" t="s">
        <v>510</v>
      </c>
      <c r="C100" s="241"/>
      <c r="D100" s="241">
        <v>18000</v>
      </c>
      <c r="E100" s="434">
        <v>18000</v>
      </c>
    </row>
    <row r="101" spans="1:5" ht="15" customHeight="1">
      <c r="A101" s="429" t="s">
        <v>202</v>
      </c>
      <c r="B101" s="220" t="s">
        <v>511</v>
      </c>
      <c r="C101" s="241"/>
      <c r="D101" s="241">
        <v>320</v>
      </c>
      <c r="E101" s="434">
        <v>320</v>
      </c>
    </row>
    <row r="102" spans="1:5" ht="15" customHeight="1">
      <c r="A102" s="429" t="s">
        <v>204</v>
      </c>
      <c r="B102" s="220" t="s">
        <v>512</v>
      </c>
      <c r="C102" s="241"/>
      <c r="D102" s="241">
        <f>719594-4492</f>
        <v>715102</v>
      </c>
      <c r="E102" s="434">
        <f>719594-4492</f>
        <v>715102</v>
      </c>
    </row>
    <row r="103" spans="1:5" ht="15" customHeight="1">
      <c r="A103" s="429" t="s">
        <v>206</v>
      </c>
      <c r="B103" s="220" t="s">
        <v>513</v>
      </c>
      <c r="C103" s="241"/>
      <c r="D103" s="241">
        <v>60100</v>
      </c>
      <c r="E103" s="434">
        <v>60100</v>
      </c>
    </row>
    <row r="104" spans="1:5" ht="15" customHeight="1">
      <c r="A104" s="429" t="s">
        <v>208</v>
      </c>
      <c r="B104" s="220" t="s">
        <v>514</v>
      </c>
      <c r="C104" s="241"/>
      <c r="D104" s="241">
        <v>1050</v>
      </c>
      <c r="E104" s="434">
        <v>1050</v>
      </c>
    </row>
    <row r="105" spans="1:5" ht="15" customHeight="1">
      <c r="A105" s="429" t="s">
        <v>210</v>
      </c>
      <c r="B105" s="220" t="s">
        <v>515</v>
      </c>
      <c r="C105" s="241"/>
      <c r="D105" s="250">
        <v>1400</v>
      </c>
      <c r="E105" s="460">
        <v>1400</v>
      </c>
    </row>
    <row r="106" spans="1:5" ht="15" customHeight="1">
      <c r="A106" s="429" t="s">
        <v>212</v>
      </c>
      <c r="B106" s="220" t="s">
        <v>516</v>
      </c>
      <c r="C106" s="241"/>
      <c r="D106" s="250">
        <v>2200</v>
      </c>
      <c r="E106" s="460">
        <f>2200+3762</f>
        <v>5962</v>
      </c>
    </row>
    <row r="107" spans="1:5" ht="15" customHeight="1">
      <c r="A107" s="429" t="s">
        <v>214</v>
      </c>
      <c r="B107" s="220" t="s">
        <v>517</v>
      </c>
      <c r="C107" s="241"/>
      <c r="D107" s="241">
        <v>22458</v>
      </c>
      <c r="E107" s="434">
        <v>22458</v>
      </c>
    </row>
    <row r="108" spans="1:5" ht="15" customHeight="1">
      <c r="A108" s="429" t="s">
        <v>215</v>
      </c>
      <c r="B108" s="220" t="s">
        <v>518</v>
      </c>
      <c r="C108" s="255"/>
      <c r="D108" s="241">
        <v>211</v>
      </c>
      <c r="E108" s="434">
        <v>211</v>
      </c>
    </row>
    <row r="109" spans="1:5" ht="15" customHeight="1">
      <c r="A109" s="429" t="s">
        <v>217</v>
      </c>
      <c r="B109" s="220" t="s">
        <v>519</v>
      </c>
      <c r="C109" s="255"/>
      <c r="D109" s="241"/>
      <c r="E109" s="434">
        <v>3252</v>
      </c>
    </row>
    <row r="110" spans="1:5" ht="15" customHeight="1">
      <c r="A110" s="429" t="s">
        <v>219</v>
      </c>
      <c r="B110" s="220" t="s">
        <v>520</v>
      </c>
      <c r="C110" s="255"/>
      <c r="D110" s="241"/>
      <c r="E110" s="434">
        <v>390</v>
      </c>
    </row>
    <row r="111" spans="1:5" ht="15" customHeight="1">
      <c r="A111" s="429" t="s">
        <v>221</v>
      </c>
      <c r="B111" s="220"/>
      <c r="C111" s="255"/>
      <c r="D111" s="241"/>
      <c r="E111" s="434"/>
    </row>
    <row r="112" spans="1:5" ht="15" customHeight="1">
      <c r="A112" s="429" t="s">
        <v>223</v>
      </c>
      <c r="B112" s="220"/>
      <c r="C112" s="255"/>
      <c r="D112" s="241"/>
      <c r="E112" s="434"/>
    </row>
    <row r="113" spans="1:5" ht="15" customHeight="1" thickBot="1">
      <c r="A113" s="429" t="s">
        <v>225</v>
      </c>
      <c r="B113" s="226"/>
      <c r="C113" s="243"/>
      <c r="D113" s="243"/>
      <c r="E113" s="435"/>
    </row>
    <row r="114" spans="1:5" ht="15" customHeight="1" thickBot="1">
      <c r="A114" s="430" t="s">
        <v>227</v>
      </c>
      <c r="B114" s="464" t="s">
        <v>485</v>
      </c>
      <c r="C114" s="462">
        <f>SUM(C74:C113)</f>
        <v>2230872</v>
      </c>
      <c r="D114" s="462">
        <f>SUM(D74:D113)</f>
        <v>3653828</v>
      </c>
      <c r="E114" s="463">
        <f>SUM(E74:E113)</f>
        <v>3655522</v>
      </c>
    </row>
    <row r="115" ht="12.75" customHeight="1">
      <c r="C115" s="252"/>
    </row>
    <row r="116" ht="12.75" customHeight="1">
      <c r="C116" s="236"/>
    </row>
    <row r="117" ht="12.75" customHeight="1"/>
    <row r="118" ht="12.75" customHeight="1"/>
    <row r="119" ht="12.75">
      <c r="C119" s="236"/>
    </row>
  </sheetData>
  <mergeCells count="4">
    <mergeCell ref="B1:D1"/>
    <mergeCell ref="C6:D6"/>
    <mergeCell ref="B67:D67"/>
    <mergeCell ref="C72:D72"/>
  </mergeCells>
  <printOptions horizontalCentered="1"/>
  <pageMargins left="0.39375" right="0.39375" top="0.5902777777777778" bottom="0.19652777777777777" header="0.39375" footer="0.5118055555555555"/>
  <pageSetup horizontalDpi="300" verticalDpi="300" orientation="portrait" paperSize="9" scale="84" r:id="rId1"/>
  <headerFooter alignWithMargins="0">
    <oddHeader>&amp;L&amp;8 8. melléklet a ..../.....(.....)önkormányzati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18"/>
  <dimension ref="A1:P17"/>
  <sheetViews>
    <sheetView workbookViewId="0" topLeftCell="A1">
      <pane xSplit="2" ySplit="2" topLeftCell="D3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D17" sqref="D17"/>
    </sheetView>
  </sheetViews>
  <sheetFormatPr defaultColWidth="9.00390625" defaultRowHeight="12.75"/>
  <cols>
    <col min="1" max="1" width="3.00390625" style="256" customWidth="1"/>
    <col min="2" max="2" width="29.875" style="256" customWidth="1"/>
    <col min="3" max="8" width="9.125" style="256" customWidth="1"/>
    <col min="9" max="9" width="9.375" style="256" customWidth="1"/>
    <col min="10" max="10" width="10.125" style="256" customWidth="1"/>
    <col min="11" max="11" width="9.375" style="256" customWidth="1"/>
    <col min="12" max="14" width="9.125" style="256" customWidth="1"/>
    <col min="15" max="15" width="11.25390625" style="256" customWidth="1"/>
    <col min="16" max="16384" width="9.125" style="256" customWidth="1"/>
  </cols>
  <sheetData>
    <row r="1" spans="1:15" ht="13.5" thickBot="1">
      <c r="A1" s="470"/>
      <c r="B1" s="477" t="s">
        <v>2</v>
      </c>
      <c r="C1" s="478" t="s">
        <v>88</v>
      </c>
      <c r="D1" s="478" t="s">
        <v>4</v>
      </c>
      <c r="E1" s="478" t="s">
        <v>5</v>
      </c>
      <c r="F1" s="478" t="s">
        <v>6</v>
      </c>
      <c r="G1" s="478" t="s">
        <v>7</v>
      </c>
      <c r="H1" s="478" t="s">
        <v>8</v>
      </c>
      <c r="I1" s="478" t="s">
        <v>9</v>
      </c>
      <c r="J1" s="478" t="s">
        <v>10</v>
      </c>
      <c r="K1" s="478" t="s">
        <v>11</v>
      </c>
      <c r="L1" s="478" t="s">
        <v>12</v>
      </c>
      <c r="M1" s="478" t="s">
        <v>13</v>
      </c>
      <c r="N1" s="478" t="s">
        <v>14</v>
      </c>
      <c r="O1" s="479" t="s">
        <v>347</v>
      </c>
    </row>
    <row r="2" spans="1:15" ht="15.75" customHeight="1" thickBot="1">
      <c r="A2" s="471"/>
      <c r="B2" s="474" t="s">
        <v>16</v>
      </c>
      <c r="C2" s="475" t="s">
        <v>521</v>
      </c>
      <c r="D2" s="475" t="s">
        <v>522</v>
      </c>
      <c r="E2" s="475" t="s">
        <v>523</v>
      </c>
      <c r="F2" s="475" t="s">
        <v>524</v>
      </c>
      <c r="G2" s="475" t="s">
        <v>525</v>
      </c>
      <c r="H2" s="475" t="s">
        <v>526</v>
      </c>
      <c r="I2" s="475" t="s">
        <v>527</v>
      </c>
      <c r="J2" s="475" t="s">
        <v>528</v>
      </c>
      <c r="K2" s="475" t="s">
        <v>529</v>
      </c>
      <c r="L2" s="475" t="s">
        <v>530</v>
      </c>
      <c r="M2" s="475" t="s">
        <v>531</v>
      </c>
      <c r="N2" s="475" t="s">
        <v>532</v>
      </c>
      <c r="O2" s="476" t="s">
        <v>58</v>
      </c>
    </row>
    <row r="3" spans="1:16" ht="15.75" customHeight="1">
      <c r="A3" s="472" t="s">
        <v>28</v>
      </c>
      <c r="B3" s="257" t="s">
        <v>29</v>
      </c>
      <c r="C3" s="258">
        <v>30000</v>
      </c>
      <c r="D3" s="258">
        <v>30000</v>
      </c>
      <c r="E3" s="258">
        <v>50000</v>
      </c>
      <c r="F3" s="258">
        <v>30000</v>
      </c>
      <c r="G3" s="258">
        <v>30000</v>
      </c>
      <c r="H3" s="258">
        <v>30000</v>
      </c>
      <c r="I3" s="258">
        <f>25000+500+7496</f>
        <v>32996</v>
      </c>
      <c r="J3" s="258">
        <f>25000+547</f>
        <v>25547</v>
      </c>
      <c r="K3" s="258">
        <v>50000</v>
      </c>
      <c r="L3" s="258">
        <v>33973</v>
      </c>
      <c r="M3" s="258">
        <f>30000-10000</f>
        <v>20000</v>
      </c>
      <c r="N3" s="258">
        <f>30000-12488</f>
        <v>17512</v>
      </c>
      <c r="O3" s="480">
        <f aca="true" t="shared" si="0" ref="O3:O11">SUM(C3:N3)</f>
        <v>380028</v>
      </c>
      <c r="P3" s="259"/>
    </row>
    <row r="4" spans="1:16" ht="15.75" customHeight="1">
      <c r="A4" s="472" t="s">
        <v>30</v>
      </c>
      <c r="B4" s="260" t="s">
        <v>366</v>
      </c>
      <c r="C4" s="261">
        <v>40000</v>
      </c>
      <c r="D4" s="261">
        <v>40000</v>
      </c>
      <c r="E4" s="261">
        <v>60000</v>
      </c>
      <c r="F4" s="261">
        <v>40000</v>
      </c>
      <c r="G4" s="261">
        <v>40000</v>
      </c>
      <c r="H4" s="261">
        <v>40000</v>
      </c>
      <c r="I4" s="261">
        <f>35000+13936</f>
        <v>48936</v>
      </c>
      <c r="J4" s="261">
        <v>35000</v>
      </c>
      <c r="K4" s="261">
        <v>60000</v>
      </c>
      <c r="L4" s="261">
        <f>41095+41405</f>
        <v>82500</v>
      </c>
      <c r="M4" s="261">
        <v>40000</v>
      </c>
      <c r="N4" s="261">
        <v>40000</v>
      </c>
      <c r="O4" s="481">
        <f t="shared" si="0"/>
        <v>566436</v>
      </c>
      <c r="P4" s="259"/>
    </row>
    <row r="5" spans="1:16" ht="15.75" customHeight="1">
      <c r="A5" s="472" t="s">
        <v>32</v>
      </c>
      <c r="B5" s="260" t="s">
        <v>533</v>
      </c>
      <c r="C5" s="261">
        <v>25000</v>
      </c>
      <c r="D5" s="261">
        <v>25000</v>
      </c>
      <c r="E5" s="261">
        <v>50000</v>
      </c>
      <c r="F5" s="261">
        <v>25000</v>
      </c>
      <c r="G5" s="261">
        <v>25000</v>
      </c>
      <c r="H5" s="261">
        <v>25000</v>
      </c>
      <c r="I5" s="261">
        <f>25000+7105</f>
        <v>32105</v>
      </c>
      <c r="J5" s="261">
        <v>25000</v>
      </c>
      <c r="K5" s="261">
        <v>50000</v>
      </c>
      <c r="L5" s="261">
        <v>36453</v>
      </c>
      <c r="M5" s="261">
        <f>25000+200</f>
        <v>25200</v>
      </c>
      <c r="N5" s="261">
        <v>25000</v>
      </c>
      <c r="O5" s="481">
        <f t="shared" si="0"/>
        <v>368758</v>
      </c>
      <c r="P5" s="259"/>
    </row>
    <row r="6" spans="1:16" ht="15.75" customHeight="1">
      <c r="A6" s="472" t="s">
        <v>34</v>
      </c>
      <c r="B6" s="260" t="s">
        <v>63</v>
      </c>
      <c r="C6" s="261">
        <v>80000</v>
      </c>
      <c r="D6" s="261">
        <v>80000</v>
      </c>
      <c r="E6" s="261">
        <v>100000</v>
      </c>
      <c r="F6" s="261">
        <v>80000</v>
      </c>
      <c r="G6" s="261">
        <v>80000</v>
      </c>
      <c r="H6" s="261">
        <f>80000+6573</f>
        <v>86573</v>
      </c>
      <c r="I6" s="261">
        <f>80000+5000+29860</f>
        <v>114860</v>
      </c>
      <c r="J6" s="261">
        <f>80000+5000</f>
        <v>85000</v>
      </c>
      <c r="K6" s="261">
        <v>100000</v>
      </c>
      <c r="L6" s="261">
        <v>81561</v>
      </c>
      <c r="M6" s="261">
        <f>80000+1323</f>
        <v>81323</v>
      </c>
      <c r="N6" s="261">
        <v>80000</v>
      </c>
      <c r="O6" s="481">
        <f t="shared" si="0"/>
        <v>1049317</v>
      </c>
      <c r="P6" s="259"/>
    </row>
    <row r="7" spans="1:16" ht="15.75" customHeight="1">
      <c r="A7" s="472" t="s">
        <v>36</v>
      </c>
      <c r="B7" s="260" t="s">
        <v>37</v>
      </c>
      <c r="C7" s="261">
        <v>3000</v>
      </c>
      <c r="D7" s="261">
        <v>3000</v>
      </c>
      <c r="E7" s="261">
        <v>4500</v>
      </c>
      <c r="F7" s="261">
        <v>3000</v>
      </c>
      <c r="G7" s="261">
        <v>3000</v>
      </c>
      <c r="H7" s="261">
        <v>3000</v>
      </c>
      <c r="I7" s="261">
        <f>3000+282</f>
        <v>3282</v>
      </c>
      <c r="J7" s="261">
        <v>3000</v>
      </c>
      <c r="K7" s="261">
        <v>4500</v>
      </c>
      <c r="L7" s="261">
        <v>3749</v>
      </c>
      <c r="M7" s="261">
        <f>3000+967</f>
        <v>3967</v>
      </c>
      <c r="N7" s="261">
        <v>3000</v>
      </c>
      <c r="O7" s="481">
        <f t="shared" si="0"/>
        <v>40998</v>
      </c>
      <c r="P7" s="259"/>
    </row>
    <row r="8" spans="1:16" ht="15.75" customHeight="1">
      <c r="A8" s="472" t="s">
        <v>38</v>
      </c>
      <c r="B8" s="260" t="s">
        <v>39</v>
      </c>
      <c r="C8" s="261">
        <v>2920</v>
      </c>
      <c r="D8" s="261">
        <v>2921</v>
      </c>
      <c r="E8" s="261">
        <v>2921</v>
      </c>
      <c r="F8" s="261">
        <v>2921</v>
      </c>
      <c r="G8" s="261">
        <v>2921</v>
      </c>
      <c r="H8" s="261">
        <f>2921+54100</f>
        <v>57021</v>
      </c>
      <c r="I8" s="261">
        <f>2921+277</f>
        <v>3198</v>
      </c>
      <c r="J8" s="261">
        <v>2921</v>
      </c>
      <c r="K8" s="261">
        <v>2921</v>
      </c>
      <c r="L8" s="261">
        <v>2921</v>
      </c>
      <c r="M8" s="261">
        <v>2921</v>
      </c>
      <c r="N8" s="261">
        <v>2921</v>
      </c>
      <c r="O8" s="481">
        <f t="shared" si="0"/>
        <v>89428</v>
      </c>
      <c r="P8" s="259"/>
    </row>
    <row r="9" spans="1:16" ht="15.75" customHeight="1">
      <c r="A9" s="472" t="s">
        <v>40</v>
      </c>
      <c r="B9" s="260" t="s">
        <v>369</v>
      </c>
      <c r="C9" s="261">
        <v>20000</v>
      </c>
      <c r="D9" s="261">
        <v>20000</v>
      </c>
      <c r="E9" s="261">
        <v>24000</v>
      </c>
      <c r="F9" s="261">
        <v>20000</v>
      </c>
      <c r="G9" s="262">
        <v>20000</v>
      </c>
      <c r="H9" s="261">
        <f>20000</f>
        <v>20000</v>
      </c>
      <c r="I9" s="261">
        <f>20000+5644</f>
        <v>25644</v>
      </c>
      <c r="J9" s="261">
        <v>20000</v>
      </c>
      <c r="K9" s="261">
        <v>24382</v>
      </c>
      <c r="L9" s="261">
        <v>20000</v>
      </c>
      <c r="M9" s="261">
        <v>20000</v>
      </c>
      <c r="N9" s="261">
        <v>20000</v>
      </c>
      <c r="O9" s="481">
        <f t="shared" si="0"/>
        <v>254026</v>
      </c>
      <c r="P9" s="259"/>
    </row>
    <row r="10" spans="1:16" ht="15.75" customHeight="1">
      <c r="A10" s="472" t="s">
        <v>42</v>
      </c>
      <c r="B10" s="260" t="s">
        <v>372</v>
      </c>
      <c r="C10" s="261"/>
      <c r="D10" s="261"/>
      <c r="E10" s="261"/>
      <c r="F10" s="261"/>
      <c r="G10" s="261"/>
      <c r="H10" s="261">
        <v>4179</v>
      </c>
      <c r="I10" s="261">
        <v>10187</v>
      </c>
      <c r="J10" s="261"/>
      <c r="K10" s="261"/>
      <c r="L10" s="261"/>
      <c r="M10" s="261"/>
      <c r="N10" s="261"/>
      <c r="O10" s="481">
        <f t="shared" si="0"/>
        <v>14366</v>
      </c>
      <c r="P10" s="259"/>
    </row>
    <row r="11" spans="1:16" ht="15.75" customHeight="1" thickBot="1">
      <c r="A11" s="472" t="s">
        <v>44</v>
      </c>
      <c r="B11" s="465" t="s">
        <v>47</v>
      </c>
      <c r="C11" s="466"/>
      <c r="D11" s="466"/>
      <c r="E11" s="466">
        <v>1000</v>
      </c>
      <c r="F11" s="466">
        <v>1000</v>
      </c>
      <c r="G11" s="466">
        <v>1000</v>
      </c>
      <c r="H11" s="466">
        <v>1000</v>
      </c>
      <c r="I11" s="466">
        <v>593</v>
      </c>
      <c r="J11" s="466"/>
      <c r="K11" s="466">
        <v>1000</v>
      </c>
      <c r="L11" s="466">
        <v>1000</v>
      </c>
      <c r="M11" s="466">
        <v>1000</v>
      </c>
      <c r="N11" s="466">
        <v>1000</v>
      </c>
      <c r="O11" s="482">
        <f t="shared" si="0"/>
        <v>8593</v>
      </c>
      <c r="P11" s="259"/>
    </row>
    <row r="12" spans="1:16" ht="19.5" customHeight="1" thickBot="1">
      <c r="A12" s="473" t="s">
        <v>46</v>
      </c>
      <c r="B12" s="469" t="s">
        <v>58</v>
      </c>
      <c r="C12" s="467">
        <f aca="true" t="shared" si="1" ref="C12:O12">SUM(C3:C11)</f>
        <v>200920</v>
      </c>
      <c r="D12" s="467">
        <f t="shared" si="1"/>
        <v>200921</v>
      </c>
      <c r="E12" s="467">
        <f t="shared" si="1"/>
        <v>292421</v>
      </c>
      <c r="F12" s="467">
        <f t="shared" si="1"/>
        <v>201921</v>
      </c>
      <c r="G12" s="467">
        <f t="shared" si="1"/>
        <v>201921</v>
      </c>
      <c r="H12" s="467">
        <f t="shared" si="1"/>
        <v>266773</v>
      </c>
      <c r="I12" s="467">
        <f t="shared" si="1"/>
        <v>271801</v>
      </c>
      <c r="J12" s="467">
        <f t="shared" si="1"/>
        <v>196468</v>
      </c>
      <c r="K12" s="467">
        <f t="shared" si="1"/>
        <v>292803</v>
      </c>
      <c r="L12" s="467">
        <f t="shared" si="1"/>
        <v>262157</v>
      </c>
      <c r="M12" s="467">
        <f t="shared" si="1"/>
        <v>194411</v>
      </c>
      <c r="N12" s="467">
        <f t="shared" si="1"/>
        <v>189433</v>
      </c>
      <c r="O12" s="468">
        <f t="shared" si="1"/>
        <v>2771950</v>
      </c>
      <c r="P12" s="259"/>
    </row>
    <row r="13" spans="15:16" ht="15">
      <c r="O13" s="263"/>
      <c r="P13" s="259"/>
    </row>
    <row r="14" ht="15">
      <c r="O14" s="263"/>
    </row>
    <row r="15" spans="12:15" ht="15">
      <c r="L15" s="264" t="s">
        <v>534</v>
      </c>
      <c r="O15" s="263"/>
    </row>
    <row r="16" ht="15">
      <c r="O16" s="263"/>
    </row>
    <row r="17" ht="14.25">
      <c r="O17" s="265"/>
    </row>
  </sheetData>
  <printOptions horizontalCentered="1"/>
  <pageMargins left="0.39375" right="0.39375" top="1.484027777777778" bottom="0.9840277777777777" header="0.7083333333333334" footer="0.5118055555555555"/>
  <pageSetup horizontalDpi="300" verticalDpi="300" orientation="landscape" scale="85" r:id="rId1"/>
  <headerFooter alignWithMargins="0">
    <oddHeader>&amp;L&amp;8 9. melléklet a .../.....(......) önkormányzati  rendelethez&amp;C&amp;"Arial CE,Félkövér"&amp;11 
2011. évi finanszírozási ütemterv&amp;R&amp;9adatok ezer forintban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xy</cp:lastModifiedBy>
  <cp:lastPrinted>2011-11-21T13:01:17Z</cp:lastPrinted>
  <dcterms:created xsi:type="dcterms:W3CDTF">1997-01-17T14:02:09Z</dcterms:created>
  <dcterms:modified xsi:type="dcterms:W3CDTF">2011-11-24T09:08:43Z</dcterms:modified>
  <cp:category/>
  <cp:version/>
  <cp:contentType/>
  <cp:contentStatus/>
</cp:coreProperties>
</file>